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3425" tabRatio="975" activeTab="0"/>
  </bookViews>
  <sheets>
    <sheet name="Prospetto 2020" sheetId="1" r:id="rId1"/>
    <sheet name="Preventivo 2020" sheetId="2" r:id="rId2"/>
    <sheet name="Preventivo 2019" sheetId="3" r:id="rId3"/>
    <sheet name="Assumptions" sheetId="4" r:id="rId4"/>
    <sheet name="B1.1" sheetId="5" r:id="rId5"/>
    <sheet name="Ripartizione per totale " sheetId="6" r:id="rId6"/>
    <sheet name="Competitività e sviluppo imp." sheetId="7" r:id="rId7"/>
    <sheet name="Regolazione dei mercati" sheetId="8" r:id="rId8"/>
    <sheet name="Com. int.le e internaz. imp." sheetId="9" r:id="rId9"/>
    <sheet name="Serv. istituz. e gen." sheetId="10" r:id="rId10"/>
    <sheet name="Servizi per conto terzi" sheetId="11" r:id="rId11"/>
    <sheet name="Fondi da ripartire" sheetId="12" r:id="rId12"/>
    <sheet name="2019 RIPARTIZIONE PARTNERS" sheetId="13" r:id="rId13"/>
    <sheet name="CONTROLLO" sheetId="14" r:id="rId14"/>
    <sheet name="2018 RIPARTIZIONE PARTNERS" sheetId="15" r:id="rId15"/>
    <sheet name="ripartizione partners 2020" sheetId="16" r:id="rId16"/>
    <sheet name="GESTIONE RESIDUI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fn._FV" hidden="1">#NAME?</definedName>
    <definedName name="_xlnm.Print_Area" localSheetId="14">'2018 RIPARTIZIONE PARTNERS'!$A$1:$A$67</definedName>
    <definedName name="_xlnm.Print_Area" localSheetId="12">'2019 RIPARTIZIONE PARTNERS'!#REF!</definedName>
    <definedName name="_xlnm.Print_Area" localSheetId="3">'Assumptions'!$A$1:$I$106</definedName>
    <definedName name="_xlnm.Print_Area" localSheetId="4">'B1.1'!$A$1:$K$19</definedName>
    <definedName name="_xlnm.Print_Area" localSheetId="8">'Com. int.le e internaz. imp.'!$A$1:$C$93</definedName>
    <definedName name="_xlnm.Print_Area" localSheetId="6">'Competitività e sviluppo imp.'!$A$1:$D$96</definedName>
    <definedName name="_xlnm.Print_Area" localSheetId="13">'CONTROLLO'!$A$1:$L$35</definedName>
    <definedName name="_xlnm.Print_Area" localSheetId="11">'Fondi da ripartire'!$A$1:$C$82</definedName>
    <definedName name="_xlnm.Print_Area" localSheetId="7">'Regolazione dei mercati'!$A$1:$C$92</definedName>
    <definedName name="_xlnm.Print_Area" localSheetId="9">'Serv. istituz. e gen.'!$A$1:$D$95</definedName>
    <definedName name="_xlnm.Print_Area" localSheetId="10">'Servizi per conto terzi'!$A$1:$C$82</definedName>
    <definedName name="ente_erogatore">'[4]budget per finanziatore'!$A$2:$A$5</definedName>
    <definedName name="tipo_progetti">'[4]FOGLIO1'!$C$3:$C$6</definedName>
    <definedName name="Trasferimenti_correnti_da_Amministrazioni_pubbliche">'[1]A1-2,8%'!$N$6:$N$22</definedName>
  </definedNames>
  <calcPr fullCalcOnLoad="1"/>
</workbook>
</file>

<file path=xl/comments2.xml><?xml version="1.0" encoding="utf-8"?>
<comments xmlns="http://schemas.openxmlformats.org/spreadsheetml/2006/main">
  <authors>
    <author>Roberta Sambo</author>
  </authors>
  <commentList>
    <comment ref="E18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addendum 250.000 da ricevere 70.000
Aggiunti explo it 13000 e transform 13000
</t>
        </r>
      </text>
    </comment>
    <comment ref="F19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RIMBORSO DPO 2 CCIAA NON SOCIE PER 12 MESI
</t>
        </r>
      </text>
    </comment>
    <comment ref="F20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RIMBORSO DPO DA 4 CCIAA SOCIE 4636 CAD</t>
        </r>
      </text>
    </comment>
    <comment ref="E29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mantenuto ipotesi ripristino compenso Presidente</t>
        </r>
      </text>
    </comment>
    <comment ref="E3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mantenuto con gratuità organi</t>
        </r>
      </text>
    </comment>
    <comment ref="H36" authorId="0">
      <text>
        <r>
          <rPr>
            <b/>
            <sz val="9"/>
            <rFont val="Tahoma"/>
            <family val="2"/>
          </rPr>
          <t>maggiorazione 10% da legge finanziaria</t>
        </r>
        <r>
          <rPr>
            <sz val="9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ADS + DPO</t>
        </r>
      </text>
    </comment>
    <comment ref="G52" authorId="0">
      <text>
        <r>
          <rPr>
            <b/>
            <sz val="9"/>
            <rFont val="Tahoma"/>
            <family val="2"/>
          </rPr>
          <t xml:space="preserve">19000 rassegna stampa
</t>
        </r>
        <r>
          <rPr>
            <sz val="9"/>
            <rFont val="Tahoma"/>
            <family val="2"/>
          </rPr>
          <t xml:space="preserve">
</t>
        </r>
      </text>
    </comment>
    <comment ref="I56" authorId="0">
      <text>
        <r>
          <rPr>
            <sz val="9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9"/>
            <rFont val="Tahoma"/>
            <family val="2"/>
          </rPr>
          <t>margine del 30%</t>
        </r>
        <r>
          <rPr>
            <sz val="9"/>
            <rFont val="Tahoma"/>
            <family val="2"/>
          </rPr>
          <t xml:space="preserve">
</t>
        </r>
      </text>
    </comment>
    <comment ref="I58" authorId="0">
      <text>
        <r>
          <rPr>
            <b/>
            <sz val="9"/>
            <rFont val="Tahoma"/>
            <family val="2"/>
          </rPr>
          <t>margine del 36%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Roberta Sambo</author>
  </authors>
  <commentList>
    <comment ref="G1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fiera artigianato - 150000 commerciali
+4
000 contrinbuto camere
</t>
        </r>
      </text>
    </comment>
    <comment ref="E18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addendum 250.000 da ricevere 70.000
Aggiunti explo it 13000 e transform 13000
</t>
        </r>
      </text>
    </comment>
    <comment ref="H19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RIMBORSO DPO 2 CCIAA NON SOCIE PER 12 MESI
</t>
        </r>
      </text>
    </comment>
    <comment ref="G20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 CONSUNTIVO RIMBORSO PITINGARO DA INFOCAMERE
ora computati 16465,49+21038. si prevedono altri 42000 non computati qui
</t>
        </r>
      </text>
    </comment>
    <comment ref="H20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RIMBORSO DPO DA 4 CCIAA SOCIE 4636 CAD</t>
        </r>
      </text>
    </comment>
    <comment ref="E29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mantenuto ipotesi ripristino compenso Presidente</t>
        </r>
      </text>
    </comment>
    <comment ref="G33" authorId="0">
      <text>
        <r>
          <rPr>
            <b/>
            <sz val="9"/>
            <rFont val="Tahoma"/>
            <family val="2"/>
          </rPr>
          <t xml:space="preserve">Roberta Sambo:
</t>
        </r>
        <r>
          <rPr>
            <sz val="9"/>
            <rFont val="Tahoma"/>
            <family val="2"/>
          </rPr>
          <t xml:space="preserve">MANTENIMENTO SITUAZIONE ATTUALE SEDE
</t>
        </r>
      </text>
    </comment>
    <comment ref="E3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mantenuto con gratuità organi</t>
        </r>
      </text>
    </comment>
    <comment ref="H53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ADS + DPO</t>
        </r>
      </text>
    </comment>
  </commentList>
</comments>
</file>

<file path=xl/comments6.xml><?xml version="1.0" encoding="utf-8"?>
<comments xmlns="http://schemas.openxmlformats.org/spreadsheetml/2006/main">
  <authors>
    <author>Roberta Sambo</author>
  </authors>
  <commentList>
    <comment ref="G7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(ripartito 0.5 e 0.25 per comp. - comm - reg.merc)
</t>
        </r>
      </text>
    </comment>
    <comment ref="G3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(ripartito 0.5 e 0.25 per comp. - comm - reg.merc)
</t>
        </r>
      </text>
    </comment>
    <comment ref="F3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assorbito da serv. Ist.
</t>
        </r>
      </text>
    </comment>
    <comment ref="B34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acquisizione servizi da progetti
</t>
        </r>
      </text>
    </comment>
    <comment ref="D36" authorId="0">
      <text>
        <r>
          <rPr>
            <b/>
            <sz val="9"/>
            <rFont val="Tahoma"/>
            <family val="2"/>
          </rPr>
          <t>Roberta Sambo:</t>
        </r>
        <r>
          <rPr>
            <sz val="9"/>
            <rFont val="Tahoma"/>
            <family val="2"/>
          </rPr>
          <t xml:space="preserve">
tolto da sezione commercio
</t>
        </r>
      </text>
    </comment>
  </commentList>
</comments>
</file>

<file path=xl/sharedStrings.xml><?xml version="1.0" encoding="utf-8"?>
<sst xmlns="http://schemas.openxmlformats.org/spreadsheetml/2006/main" count="1103" uniqueCount="513">
  <si>
    <t xml:space="preserve">TRASFERIMENTI CORRENTI </t>
  </si>
  <si>
    <t xml:space="preserve">CAPITOLO </t>
  </si>
  <si>
    <t>CAPITOLO</t>
  </si>
  <si>
    <t>ENTRATE EXTRATRIBUTARIE</t>
  </si>
  <si>
    <t>VENDITA DI BENI E SERVIZI E PROVENTI DERIVANTI DALLA GESTIONE DEI BENI</t>
  </si>
  <si>
    <t xml:space="preserve">INTRESSI ATTIVI </t>
  </si>
  <si>
    <t xml:space="preserve">IMPORTI </t>
  </si>
  <si>
    <t xml:space="preserve">ALTRE ENTRATE DA REDDITI DA CAPITALE </t>
  </si>
  <si>
    <t>ENTRATE</t>
  </si>
  <si>
    <t>USCITE</t>
  </si>
  <si>
    <t>SPESE CORRENTI</t>
  </si>
  <si>
    <t>REDDITI DA LAVORO DIPENDENTE</t>
  </si>
  <si>
    <t>IMPOSTE E TASSE A CARICO DELL'ENTE</t>
  </si>
  <si>
    <t xml:space="preserve">ACQUISTO DI BENI E SERVIZI </t>
  </si>
  <si>
    <t>Contributi sociali a carico dell'ente</t>
  </si>
  <si>
    <t>Retribuzioni lorde</t>
  </si>
  <si>
    <t>Imposte , tasse a carico dell'ente</t>
  </si>
  <si>
    <t xml:space="preserve">Acquisto di servizi non sanitari </t>
  </si>
  <si>
    <t>Trasferimenti correnti a Amministrazioni Pubbliche</t>
  </si>
  <si>
    <t>Trasferimenti correnti a Imprese</t>
  </si>
  <si>
    <t>Trasferimenti correnti a Istituzioni Sociali Private</t>
  </si>
  <si>
    <t>RIMBORSI E POSTE CORRETTIVE DELLE ENTRATE</t>
  </si>
  <si>
    <t>Rimborsi di trasferimenti all ' Unione Europea</t>
  </si>
  <si>
    <t>SPESE PER INCREMENTO ATTIVITA' FINANZIARIE</t>
  </si>
  <si>
    <t>ACQUISIZIONI  DI ATTIVITA' FINANZIARIE</t>
  </si>
  <si>
    <t>Acquisizioni di partecipazioni , azioni e conferimenti di capitale</t>
  </si>
  <si>
    <t>Trasferimenti correnti da Amministrazioni pubbliche</t>
  </si>
  <si>
    <t>Trasferimenti correnti da Imprese</t>
  </si>
  <si>
    <t xml:space="preserve">Trasferimenti correnti dall'Unione Europea e dal Resto del Mondo </t>
  </si>
  <si>
    <t>Vendita di servizi</t>
  </si>
  <si>
    <t>Interessi attivi da titoli o finanziamenti a breve termine</t>
  </si>
  <si>
    <t xml:space="preserve">Entrate derivanti dalla distribuzione di dividendi </t>
  </si>
  <si>
    <t>Entrate derivanti dalla distribuzione di utili e avanzi</t>
  </si>
  <si>
    <t>TOTALE GENERALE ENTRATE</t>
  </si>
  <si>
    <t>Acquisizioni di titoli obbligazionari a breve termine</t>
  </si>
  <si>
    <t>TOTALE GENERALE USCITE</t>
  </si>
  <si>
    <t>ARTICOLAZIONE PER MISSIONI E PROGRAMMI</t>
  </si>
  <si>
    <t>Competitività e sviluppo delle imprese</t>
  </si>
  <si>
    <t>Regolazione dei mercati</t>
  </si>
  <si>
    <t>Commercio internazionale e internazionalizzazione del sistema produttivo</t>
  </si>
  <si>
    <t>Servizi istituzionali e generali delle istituzioni pubbliche</t>
  </si>
  <si>
    <t>Fondi da ripartire</t>
  </si>
  <si>
    <t>Rimborsi di trasferimenti all'Unione Europea</t>
  </si>
  <si>
    <t>II</t>
  </si>
  <si>
    <t>III</t>
  </si>
  <si>
    <t>RIMBORSI E ALTRE ENTRATE CORRENTI</t>
  </si>
  <si>
    <t>Indennizzi di assicurazione</t>
  </si>
  <si>
    <t>Rimborsi in entrata</t>
  </si>
  <si>
    <t>ENTRATE IN CONTO CAPITALE</t>
  </si>
  <si>
    <t xml:space="preserve">Acquisto di beni non sanitari </t>
  </si>
  <si>
    <t>Altre entrate correnti n.a.c.</t>
  </si>
  <si>
    <t>VP</t>
  </si>
  <si>
    <t>GAB</t>
  </si>
  <si>
    <t xml:space="preserve">stipendio </t>
  </si>
  <si>
    <t>serv.gen</t>
  </si>
  <si>
    <t>indirizzo politico</t>
  </si>
  <si>
    <t>VM</t>
  </si>
  <si>
    <t>COMPETITIVITA'</t>
  </si>
  <si>
    <t xml:space="preserve">Tutto il personale del CS e le spese relative in </t>
  </si>
  <si>
    <t>INTERNAZIONALIZZAZIONE</t>
  </si>
  <si>
    <t>Conto terzi</t>
  </si>
  <si>
    <t>calcolo basato sulla riclassificazione dell'anno precedente dei progetti e spalmata in proporzione all'effettiv</t>
  </si>
  <si>
    <t>QUOTE CONTRIBUTIVE</t>
  </si>
  <si>
    <t>FUNZIONAMENTO?</t>
  </si>
  <si>
    <t>Rimborsi e altri proventi</t>
  </si>
  <si>
    <t>servizi istituzionali e generali</t>
  </si>
  <si>
    <t>Fondi Regione BXL</t>
  </si>
  <si>
    <t>rimborsi</t>
  </si>
  <si>
    <t>Totale</t>
  </si>
  <si>
    <t>percentuale ripartizione</t>
  </si>
  <si>
    <t>Non potendolo imputare come uscitea di cassa è stato divi come segue:</t>
  </si>
  <si>
    <t>5.13%</t>
  </si>
  <si>
    <t>competitività</t>
  </si>
  <si>
    <t>commercio</t>
  </si>
  <si>
    <t>regolazione</t>
  </si>
  <si>
    <t>servizi istituzionali</t>
  </si>
  <si>
    <t>il restante viene imputato come ripartizione su volume d'affari totale</t>
  </si>
  <si>
    <t>con specifica ripartizione di VP*</t>
  </si>
  <si>
    <t>VP*</t>
  </si>
  <si>
    <t xml:space="preserve">proventi finanziari </t>
  </si>
  <si>
    <t>Servizi istituzionali e generali delle istituzioni pubbliche - IND POL</t>
  </si>
  <si>
    <t>FONDAZIONE NORDEST erog. Ser</t>
  </si>
  <si>
    <t>INFOCAMERE</t>
  </si>
  <si>
    <t>IVL</t>
  </si>
  <si>
    <t>FORUM ADRIATICO E IONIO</t>
  </si>
  <si>
    <t>UNIONTRASPORTI</t>
  </si>
  <si>
    <t>Ripartizione delle partecipazioni come costi</t>
  </si>
  <si>
    <t>Ripartizione attività istituzionali</t>
  </si>
  <si>
    <t>DIPARTIMENTO PER LE POLITICHE COMUNITARIE</t>
  </si>
  <si>
    <t>DESCRIZIONE</t>
  </si>
  <si>
    <t>Ufficio Stampa - prest</t>
  </si>
  <si>
    <t>serv.isti</t>
  </si>
  <si>
    <t>DIPARTIMENTO PER IL COORDINAMENTO E PER LE RELAZIONI ISTITUZIONALI</t>
  </si>
  <si>
    <t>Collaborazioni con la stampa</t>
  </si>
  <si>
    <t>composto da:</t>
  </si>
  <si>
    <t>Ufficio Stampa - Prest</t>
  </si>
  <si>
    <t>Stampa materiali istituzionali - prest</t>
  </si>
  <si>
    <t>composti da:</t>
  </si>
  <si>
    <t>B2.1.6) FONDO INIZIATIVE INTERSETTORIALI</t>
  </si>
  <si>
    <t>COMMERCIO</t>
  </si>
  <si>
    <t>REGOL.MERC.</t>
  </si>
  <si>
    <t>SERV.ISTI</t>
  </si>
  <si>
    <t>tasse</t>
  </si>
  <si>
    <t>maggioranza in servizi</t>
  </si>
  <si>
    <t>011-Competitività e sviluppo delle imprese</t>
  </si>
  <si>
    <t>012-Regolazione dei mercati</t>
  </si>
  <si>
    <t>016-Commercio internazionale e internazionalizzazione del sistema produttivo</t>
  </si>
  <si>
    <t>032-Servizi istituzionali e generali delle istituzioni pubbliche</t>
  </si>
  <si>
    <t>90-Servizi per conto terzi partite di giro</t>
  </si>
  <si>
    <t>quote contributive</t>
  </si>
  <si>
    <t>4.1 - Affari generali economici</t>
  </si>
  <si>
    <t>011 - Competitività e sviluppo delle imprese</t>
  </si>
  <si>
    <t>012 - Regolazione dei mercati</t>
  </si>
  <si>
    <t>005 - Regolamentazione incentivazione di settori imprenditoriali, riassetti industriali, sperimentazione tecnologica, lotta alla contraffazione, tutela della proprietà industriale</t>
  </si>
  <si>
    <t>004 - Vigilanza sui mercati e sui prodotti, promozione della concorrenza e tutela dei consumatori</t>
  </si>
  <si>
    <t>005 - Sostegno all'internazionalizzazione delle imprese e promozione del Made in Italy</t>
  </si>
  <si>
    <t>016 - Commercio internazionale e internazionalizzazione del sistema produttivo</t>
  </si>
  <si>
    <t>032 - Servizi istituzionali e generali delle istituzioni pubbliche</t>
  </si>
  <si>
    <t>002 - indirizzo politico</t>
  </si>
  <si>
    <t>1.1 - Organi esecutivi e legislativi, attività finanziarie e fiscali e affari esteri</t>
  </si>
  <si>
    <t>004 - Servizi generali, formativi ed approvvigionamenti per le Amministrazioni Pubbliche</t>
  </si>
  <si>
    <t>1.3 - Servizi generali</t>
  </si>
  <si>
    <t>033 - Fondi da ripartire</t>
  </si>
  <si>
    <t>001 - Fondi da assegnare</t>
  </si>
  <si>
    <t>002 - Fondi di riserva e speciali</t>
  </si>
  <si>
    <t>Costruzione del file:</t>
  </si>
  <si>
    <t>Assemblare a seconda dell'ambito di intervento i ricavi e i costi</t>
  </si>
  <si>
    <t>COSTI:</t>
  </si>
  <si>
    <t>Gli stipendi, per la parte restante data dalla differenza trovata scorporando il totale dei costi per dipendenti inserita nei progetti e per la quota 100% del CS inserita in competitività, vengono inseriti in quota parte come da percentuali dei ricavi</t>
  </si>
  <si>
    <t>pro rata per missione</t>
  </si>
  <si>
    <t>personale per missione</t>
  </si>
  <si>
    <t>regolazione mercato</t>
  </si>
  <si>
    <t>TOTALE</t>
  </si>
  <si>
    <t>PERCENTUALE PERS/MISSIONE</t>
  </si>
  <si>
    <t>revisori</t>
  </si>
  <si>
    <t>altri organi</t>
  </si>
  <si>
    <t>aggiunta parte competitività cs</t>
  </si>
  <si>
    <t>OK</t>
  </si>
  <si>
    <t>COSTI</t>
  </si>
  <si>
    <t>INCASSI</t>
  </si>
  <si>
    <t>TOTALI PROGETTI</t>
  </si>
  <si>
    <r>
      <t>poi ho anche</t>
    </r>
    <r>
      <rPr>
        <b/>
        <sz val="10"/>
        <rFont val="Arial"/>
        <family val="2"/>
      </rPr>
      <t xml:space="preserve"> costi struttura</t>
    </r>
  </si>
  <si>
    <r>
      <t>qualcosa in</t>
    </r>
    <r>
      <rPr>
        <b/>
        <sz val="10"/>
        <rFont val="Arial"/>
        <family val="2"/>
      </rPr>
      <t xml:space="preserve"> bene</t>
    </r>
  </si>
  <si>
    <t>Totale incassi:</t>
  </si>
  <si>
    <t>Competitività</t>
  </si>
  <si>
    <t>Commercio</t>
  </si>
  <si>
    <t>Reg. Mercati</t>
  </si>
  <si>
    <t>Serv.Istit.</t>
  </si>
  <si>
    <t>quote</t>
  </si>
  <si>
    <t>interessi</t>
  </si>
  <si>
    <t>Totale costi:</t>
  </si>
  <si>
    <t>avanzo</t>
  </si>
  <si>
    <t>somme a mano</t>
  </si>
  <si>
    <t>acquisto beni</t>
  </si>
  <si>
    <t>personale</t>
  </si>
  <si>
    <t>tras.part altri trasf</t>
  </si>
  <si>
    <t>Dopo richiesta ai PM di compilare il file cash progetti</t>
  </si>
  <si>
    <r>
      <t>Ottenute queste percentuali ripartire anche gli altri ricavi in questo senso, ad esclusione delle</t>
    </r>
    <r>
      <rPr>
        <b/>
        <sz val="10"/>
        <rFont val="Arial"/>
        <family val="2"/>
      </rPr>
      <t xml:space="preserve"> domicializione inserite completamente nelle Vendite da servizi - Internazionalizzazione</t>
    </r>
    <r>
      <rPr>
        <sz val="10"/>
        <rFont val="Arial"/>
        <family val="2"/>
      </rPr>
      <t xml:space="preserve"> ( inserita quota di cassa più alta perché si prevede di ricevere anche una quota di debiti degli anni precedenti) e dei dividendi da inserire completamente in </t>
    </r>
    <r>
      <rPr>
        <b/>
        <sz val="10"/>
        <rFont val="Arial"/>
        <family val="2"/>
      </rPr>
      <t>entrate da dividendi - SERV. ISTITUZIONALI</t>
    </r>
  </si>
  <si>
    <r>
      <rPr>
        <b/>
        <sz val="10"/>
        <rFont val="Arial"/>
        <family val="2"/>
      </rPr>
      <t>Ripartizione quote:</t>
    </r>
    <r>
      <rPr>
        <sz val="10"/>
        <rFont val="Arial"/>
        <family val="2"/>
      </rPr>
      <t xml:space="preserve"> diminuzione dell'1% di competitività e commercio e del 5% di servizi istituzionali a favore di regolamentazione dei mercati che va di conseguenza a +7%</t>
    </r>
  </si>
  <si>
    <t>COMPETITIVITà</t>
  </si>
  <si>
    <t>A pareggio con i costi di personale imputati ai servizi vari</t>
  </si>
  <si>
    <t>SERV.IST - IND. POLITICO</t>
  </si>
  <si>
    <t>ASSORBITI DA SERV.ISTITUZIONALI</t>
  </si>
  <si>
    <t>Centro Studi</t>
  </si>
  <si>
    <t>BRUXELLES</t>
  </si>
  <si>
    <t>compet</t>
  </si>
  <si>
    <t>PLENI</t>
  </si>
  <si>
    <t>CONV. DIST. 2227</t>
  </si>
  <si>
    <t>DOING BUSINESS</t>
  </si>
  <si>
    <t>Stato</t>
  </si>
  <si>
    <t>Reg</t>
  </si>
  <si>
    <t>REG</t>
  </si>
  <si>
    <t>STATO</t>
  </si>
  <si>
    <t>Alienazione di titoli obbligazionari a breve termine</t>
  </si>
  <si>
    <t>totale</t>
  </si>
  <si>
    <t>ENTRATE DA RIDUZIONE DI ATTIVITA' FINANZIARIE</t>
  </si>
  <si>
    <t>I BOT SONO STATI INSERITI QUOTA PARTE IN ENTRATE BASANDOSI SULL'ACQUISTO BOT 2013 IN USCITA SOMMANDO ALL'ENTRATA LA RIVALUTAZIONE DEL TFR DELL'ANNO, CIRCA 26000 EURO</t>
  </si>
  <si>
    <t>NEL DISTRIBUIRE I BOT SONO STATI INVERTITI NEI SERVIZI ISTITUZIONALI LE QUOTE IND. POL E SERV. IST. perché SOLO PARETI TIENE IL TFR IN AZIENDA</t>
  </si>
  <si>
    <t xml:space="preserve">Retribuzioni lorde </t>
  </si>
  <si>
    <t>TOTALE €</t>
  </si>
  <si>
    <r>
      <t>Calcolare il personale dipendente per ogni progetto e andarlo a rivedere alla luce del totale impiegato. Nota bene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che per fare questo gli stipendi dei dirigenti sono stati imputati in parte ai serv. Ist. E il CS alla competitività</t>
    </r>
  </si>
  <si>
    <r>
      <t>Gli stipendi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del Segretaqrio Generale e dei responsabili di Dipartimento vengono divise come segue e la parte restante viene inserita in percentuale come da proporzione trovata</t>
    </r>
  </si>
  <si>
    <t>rimborsi vari</t>
  </si>
  <si>
    <t>camera italo tedesca</t>
  </si>
  <si>
    <t>Trasferimenti correnti a Istituzioni sociali private</t>
  </si>
  <si>
    <t>Questi due totali devono coincidere</t>
  </si>
  <si>
    <t>TOTALE PER QUADRATURA</t>
  </si>
  <si>
    <t>TOTALE ATTIVITA'</t>
  </si>
  <si>
    <t>ACQUISTO SERVIZI</t>
  </si>
  <si>
    <t>TRASFERIMENTI</t>
  </si>
  <si>
    <t>Premi</t>
  </si>
  <si>
    <t xml:space="preserve">UNIONCAMERE DEL VENETO </t>
  </si>
  <si>
    <t xml:space="preserve"> CONTO ECONOMICO </t>
  </si>
  <si>
    <t>A)</t>
  </si>
  <si>
    <t>PROVENTI GESTIONE CORRENTE</t>
  </si>
  <si>
    <t xml:space="preserve"> </t>
  </si>
  <si>
    <t>1)</t>
  </si>
  <si>
    <t>Quote associative CCIAA</t>
  </si>
  <si>
    <t>1a)</t>
  </si>
  <si>
    <t>2)</t>
  </si>
  <si>
    <t>Finanziamenti fondo perequativo</t>
  </si>
  <si>
    <t>3)</t>
  </si>
  <si>
    <t>Altri contributi - Progettualità</t>
  </si>
  <si>
    <t>4)</t>
  </si>
  <si>
    <t>Proventi da gestione servizi commerciali</t>
  </si>
  <si>
    <t>5)</t>
  </si>
  <si>
    <t>Altri proventi o rimborsi</t>
  </si>
  <si>
    <t>6)</t>
  </si>
  <si>
    <t>Proventi attività Delegaz. Bruxelles</t>
  </si>
  <si>
    <t>TOTALE PROVENTI GESTIONE CORRENTE (A)</t>
  </si>
  <si>
    <t>B)</t>
  </si>
  <si>
    <t>ONERI GESTIONE CORRENTE</t>
  </si>
  <si>
    <t xml:space="preserve">B1) </t>
  </si>
  <si>
    <t>ONERI DELLA STRUTTURA</t>
  </si>
  <si>
    <t>Organi istituzionali</t>
  </si>
  <si>
    <t>Personale</t>
  </si>
  <si>
    <t>Funzionamento</t>
  </si>
  <si>
    <t>3.1</t>
  </si>
  <si>
    <t>prestazioni di servizi</t>
  </si>
  <si>
    <t>3.2</t>
  </si>
  <si>
    <t>godimento di beni di terzi</t>
  </si>
  <si>
    <t>3.3</t>
  </si>
  <si>
    <t>oneri diversi di gestione</t>
  </si>
  <si>
    <t>di cui per provvedimenti di riduzione di spesa</t>
  </si>
  <si>
    <t xml:space="preserve">Ammortamenti ed accantonamenti </t>
  </si>
  <si>
    <t>Oneri  gestione corrente Delegaz. Bruxelles</t>
  </si>
  <si>
    <t>TOTALE ONERI DELLA STRUTTURA (B1)</t>
  </si>
  <si>
    <t>MARGINE PER LA COPERTURA DEGLI ONERI DI FUNZIONAMENTO (A1-B1)</t>
  </si>
  <si>
    <t>MARGINE PER LA COPERTURA DEGLI ONERI PER INIZIATIVE ISTITUZIONALI (A-B1)</t>
  </si>
  <si>
    <t>B2 ONERI PROGETTI/ATTIVITA' ISTITUZIONALI</t>
  </si>
  <si>
    <t>B2.1 Progetti/attività finanziati con quota associativa</t>
  </si>
  <si>
    <t>Iniziative di promozione/Attività istituzionali</t>
  </si>
  <si>
    <t>Studi, ricerche e indagini</t>
  </si>
  <si>
    <t xml:space="preserve">3)   </t>
  </si>
  <si>
    <t>Assistenza e servizi alle CCIAA</t>
  </si>
  <si>
    <t>Contributo Veneto Promozione</t>
  </si>
  <si>
    <t>Fondo iniziative intersettoriali</t>
  </si>
  <si>
    <t>B2.2 Progetti/attività finanziati con fondo perequativo</t>
  </si>
  <si>
    <t>B2.3 Progetti/attività finanziati con altri contributi</t>
  </si>
  <si>
    <t xml:space="preserve">B2.3.1 </t>
  </si>
  <si>
    <t>Oneri Attività Delegazione Bruxelles</t>
  </si>
  <si>
    <t>TOTALE ONERI ATTIVITA' ISTITUZIONALI (B2)</t>
  </si>
  <si>
    <t>TOTALE ONERI GESTIONE CORRENTE (B1+B2)</t>
  </si>
  <si>
    <t>RIS. DELLA GESTIONE CORRENTE (A-B)</t>
  </si>
  <si>
    <t>C)</t>
  </si>
  <si>
    <t>GESTIONE FINANZIARIA</t>
  </si>
  <si>
    <t>1) Proventi finanziari</t>
  </si>
  <si>
    <t>2) Oneri finanziari</t>
  </si>
  <si>
    <t>RIS. DELLA GESTIONE FINANZIARIA (C)</t>
  </si>
  <si>
    <t>D)</t>
  </si>
  <si>
    <t>GESTIONE STRAORDINARIA</t>
  </si>
  <si>
    <t>1) Proventi straordinari</t>
  </si>
  <si>
    <t>Sopravvenienze attive</t>
  </si>
  <si>
    <t>2) Oneri straordinari</t>
  </si>
  <si>
    <t>Sopravvenienze passive</t>
  </si>
  <si>
    <t>RIS. DELLA GESTIONE STRAORDINARIA (D)</t>
  </si>
  <si>
    <t>E)</t>
  </si>
  <si>
    <t>Rettifiche Attivo Patrimoniale</t>
  </si>
  <si>
    <t>1) Rivalutazione attivo patrimoniale</t>
  </si>
  <si>
    <t>2) Svalutazione attivo patrimoniale</t>
  </si>
  <si>
    <t>RIS. DELLE RETTIFICHE PATRIMONIALI</t>
  </si>
  <si>
    <t>RISULTATO PRESUNTO ECONOMICO                                                                                                                                                               DELL'ESERCIZIO A+B+C+D</t>
  </si>
  <si>
    <t>PIANO DEGLI INVESTIMENTI</t>
  </si>
  <si>
    <t>E) Immobilizzazioni immateriali</t>
  </si>
  <si>
    <t>F) Immobilizzazioni materiali</t>
  </si>
  <si>
    <t>G) Immobilizzazioni finanziarie</t>
  </si>
  <si>
    <t>TOTALE INVESTIMENTI (E+F+G)</t>
  </si>
  <si>
    <t>domiciliazioni E RICAVI CENTRO STUDI</t>
  </si>
  <si>
    <t>il * è assorbito da servizi istituzionali</t>
  </si>
  <si>
    <t>Veneto Promozone peserebbe nel totale del fatturato*</t>
  </si>
  <si>
    <t>IND. POLITICO</t>
  </si>
  <si>
    <t>UCV</t>
  </si>
  <si>
    <t>Cooperativa Sociale Italiana</t>
  </si>
  <si>
    <t>UNIVERONA</t>
  </si>
  <si>
    <t>Università Italiana</t>
  </si>
  <si>
    <t>Consorzio Nazionale Servizi Finanziari</t>
  </si>
  <si>
    <t>CCIN CANTABRIA</t>
  </si>
  <si>
    <t>Camera di Commercio Spagnola</t>
  </si>
  <si>
    <t xml:space="preserve">Fundacion Leonardo Torres Quevedo </t>
  </si>
  <si>
    <t>Fundazione Privata Non profit Spagnola</t>
  </si>
  <si>
    <t>University of Primorska</t>
  </si>
  <si>
    <t>Università Slovenia</t>
  </si>
  <si>
    <t>Tehnoloski Park Ljubljana Doo</t>
  </si>
  <si>
    <t>Parco tecnologico Slovenia</t>
  </si>
  <si>
    <t>Università Tedesca</t>
  </si>
  <si>
    <t>Inter Research Fulda</t>
  </si>
  <si>
    <t>private non-proft association Germania</t>
  </si>
  <si>
    <t>Agenzia Governativa Pubblica - Belgio</t>
  </si>
  <si>
    <t>Organizzazione Privata No-Profit - Belgio</t>
  </si>
  <si>
    <t>AO Belgium</t>
  </si>
  <si>
    <t>Organizzazione Privata No-Profit -</t>
  </si>
  <si>
    <t>Trasferimenti correnti versati all'Unione Europea e al Resto del Mondo</t>
  </si>
  <si>
    <t>come comportarsi con i progetti da acquisire?</t>
  </si>
  <si>
    <t>ricavi</t>
  </si>
  <si>
    <t>bot</t>
  </si>
  <si>
    <t>acquisto servizi comprensivo di collaboratori</t>
  </si>
  <si>
    <t>Ind. Pol.</t>
  </si>
  <si>
    <t>avanzo progetti</t>
  </si>
  <si>
    <t>totale risultato senza progetti</t>
  </si>
  <si>
    <t>conteggiati spese per revisori e rimborsi per organi</t>
  </si>
  <si>
    <t>tot controllo</t>
  </si>
  <si>
    <t>tot schede</t>
  </si>
  <si>
    <t>scostamento</t>
  </si>
  <si>
    <t>circa 6% spese totali</t>
  </si>
  <si>
    <t>TOTALE ALIENAZIONI PER SERV.ISTITUZIONALI</t>
  </si>
  <si>
    <t>003 - Servizi e affari generali per le amministrazioni di competenza</t>
  </si>
  <si>
    <t>002 - Indirizzo Politico</t>
  </si>
  <si>
    <t>Trasferimenti correnti a Ue e resto del Mondo</t>
  </si>
  <si>
    <t>Amm. Pubbliche</t>
  </si>
  <si>
    <t>Ue e resto del mondo</t>
  </si>
  <si>
    <t>imprese</t>
  </si>
  <si>
    <t>PROSPETTO PREVISIONI DI SPESA ARTICOLATO PER MISSIONI E PROGRAMMI (ALL. 2 DM 27/03/2013)</t>
  </si>
  <si>
    <t>Istituzioni sociali pèrivate</t>
  </si>
  <si>
    <t>di cui tasse</t>
  </si>
  <si>
    <t>CON MENSA</t>
  </si>
  <si>
    <t>apre</t>
  </si>
  <si>
    <t>7SOMMA DI ATTIVITà ISTIT. CENTRO STUDI, DEL. BXL. 2017</t>
  </si>
  <si>
    <t>circa 3% su spese prog. Ripartita su miss. Effettive</t>
  </si>
  <si>
    <t>Consorzio 609 / Consorzio IES</t>
  </si>
  <si>
    <t>Hochschule Fulda - University of Fulda</t>
  </si>
  <si>
    <t>CE.Sv.I</t>
  </si>
  <si>
    <t xml:space="preserve">Totale </t>
  </si>
  <si>
    <t>ABE - AGENCE BRUXELLOISE POUR L'ENTREPRISE  - Belgium</t>
  </si>
  <si>
    <t>CUE- Coventry University - United Kingdom</t>
  </si>
  <si>
    <t>Università</t>
  </si>
  <si>
    <t>EISC Ltd - Southampton - United Kingdom</t>
  </si>
  <si>
    <t>PES- SL Promoció Econòmica de Sabadell SL - Spain</t>
  </si>
  <si>
    <t xml:space="preserve"> INNO -INNOGATE TO EUROPE</t>
  </si>
  <si>
    <t>TP_LJ - TEHNOLOSKI PARK LJUBLJANA DOO , Technology Park Ljubljana</t>
  </si>
  <si>
    <t>ITKAM - Italian-German Chamber of Commerce in Berlin - Germany</t>
  </si>
  <si>
    <t xml:space="preserve">Camera di Commercio Italiana all'estero - Privata </t>
  </si>
  <si>
    <t>KCCIC - Kaunas chamber of commerce, industry and crafts ,  Lithuania</t>
  </si>
  <si>
    <t>TOTAL</t>
  </si>
  <si>
    <t>GYMNASIUM next</t>
  </si>
  <si>
    <t>CONTRIBUTI A IMPRESE</t>
  </si>
  <si>
    <t>CONTRIBUTI A AMMINISTRAZIONI PUBBLICHE</t>
  </si>
  <si>
    <t>CONTRIBUTI A ISTITUZIONI SOCIALI PRIVATE</t>
  </si>
  <si>
    <t>CONTRIBUTI A AMMINISTRAZIONI PUBBLICHE ESTERE</t>
  </si>
  <si>
    <t>CONTRIBUTI AD AZIENDE SPECIALI</t>
  </si>
  <si>
    <t>CONTRIBUTI VERSO UE E RESTO DEL MONDO</t>
  </si>
  <si>
    <t>EEN</t>
  </si>
  <si>
    <t>COMP</t>
  </si>
  <si>
    <t>COMM</t>
  </si>
  <si>
    <t>BLUE TECH</t>
  </si>
  <si>
    <t>AZ. SPECIALI</t>
  </si>
  <si>
    <t>schede</t>
  </si>
  <si>
    <t>domiciliazioni e servizi</t>
  </si>
  <si>
    <t>INTERESSI PASSIVI</t>
  </si>
  <si>
    <t>Interessi su finanziamenti a breve termine</t>
  </si>
  <si>
    <t>Interessi passivi su finanziamenti a breve termine</t>
  </si>
  <si>
    <t>regolamentazione mercato</t>
  </si>
  <si>
    <t>int passivi</t>
  </si>
  <si>
    <t>servi</t>
  </si>
  <si>
    <t>da ricevere</t>
  </si>
  <si>
    <t>TOTALI</t>
  </si>
  <si>
    <t xml:space="preserve">tutto il personale </t>
  </si>
  <si>
    <t>(Basato sulla struttura di bilancio delle Unioni Regionali)</t>
  </si>
  <si>
    <t>4a)</t>
  </si>
  <si>
    <t>Acc.to Fondo attuazione progetti derivanti dalle convenzioni distretti,</t>
  </si>
  <si>
    <t xml:space="preserve"> ricerca e sviluppo con la Regione Veneto</t>
  </si>
  <si>
    <t>Minusvalenze su partecipazioni</t>
  </si>
  <si>
    <t>bxl</t>
  </si>
  <si>
    <t>CENTRO STUDI</t>
  </si>
  <si>
    <t>COMM. INT.LE - INTERNAZIONALIZZAZIONE</t>
  </si>
  <si>
    <t>ORGANI</t>
  </si>
  <si>
    <t>PARTNER</t>
  </si>
  <si>
    <t>II° erogazione 50% 2018</t>
  </si>
  <si>
    <t>Informest Consulting</t>
  </si>
  <si>
    <t>Az. Speciale ARIES</t>
  </si>
  <si>
    <t>Az. Speciale I.TER</t>
  </si>
  <si>
    <t>Az. Speciale Concentro</t>
  </si>
  <si>
    <t>Veneto Innovazione</t>
  </si>
  <si>
    <t>Trentino Sviluppo</t>
  </si>
  <si>
    <t>TIS</t>
  </si>
  <si>
    <t>AREA Science Park</t>
  </si>
  <si>
    <t>ENEA</t>
  </si>
  <si>
    <t>IPSE</t>
  </si>
  <si>
    <t>Non richiesto</t>
  </si>
  <si>
    <t>IDM</t>
  </si>
  <si>
    <t>II° erogazione 50% 2018 commercio</t>
  </si>
  <si>
    <t xml:space="preserve">II° erogazione 50% 2018 comp
</t>
  </si>
  <si>
    <t>amm.p.</t>
  </si>
  <si>
    <t>istit. Soc. priv.</t>
  </si>
  <si>
    <t>ue</t>
  </si>
  <si>
    <t>(ripartito 0.5 e 0.25 per comp. - comm - reg.merc)</t>
  </si>
  <si>
    <t>trasferimenti</t>
  </si>
  <si>
    <t>servi istituzionali</t>
  </si>
  <si>
    <t>dpo</t>
  </si>
  <si>
    <t>COMPETITIVITA' 2019</t>
  </si>
  <si>
    <t>PRESTAZIONI VARIE - COMPETIT.</t>
  </si>
  <si>
    <t xml:space="preserve">Relazione Attività </t>
  </si>
  <si>
    <t>Spese attività istituzionali varie</t>
  </si>
  <si>
    <t>NUOVO PREMIO REGIONALE SVILUPPO</t>
  </si>
  <si>
    <t>ASSISTENZA CCIAA</t>
  </si>
  <si>
    <t>COMPRESI AIUTI DI STATO</t>
  </si>
  <si>
    <t xml:space="preserve">B2.1.4) SERVIZI COMUNI </t>
  </si>
  <si>
    <t>BILANCIO PREVENTIVO 2019-2021</t>
  </si>
  <si>
    <t>Consuntivo 2017</t>
  </si>
  <si>
    <t>PREVENTIVO APPROVATO 2018</t>
  </si>
  <si>
    <t>PRECONSUNTIVO 2018</t>
  </si>
  <si>
    <t>PREVENTIVO 2019</t>
  </si>
  <si>
    <t>PREVENTIVO 2020</t>
  </si>
  <si>
    <t>PREVENTIVO 2021</t>
  </si>
  <si>
    <t>DIFF. 2018 AGG.TO- 2018 PREV.</t>
  </si>
  <si>
    <t>Contributo da CCIAA per iniziative varie per Veneto Promozione - fiera artigianato/fondo</t>
  </si>
  <si>
    <t>costo a preconsuntivo personale UCV</t>
  </si>
  <si>
    <t>affitto a 49,1 €/mq+iva</t>
  </si>
  <si>
    <t>affitto a 67.5 mq+iva</t>
  </si>
  <si>
    <t>vedi allegato foglio 1</t>
  </si>
  <si>
    <t>sp.cond.</t>
  </si>
  <si>
    <r>
      <t xml:space="preserve">Servizi comuni CCIAA </t>
    </r>
    <r>
      <rPr>
        <b/>
        <sz val="13"/>
        <color indexed="10"/>
        <rFont val="Arial"/>
        <family val="2"/>
      </rPr>
      <t>L'ARTIGIANO IN FIERA/progetti</t>
    </r>
  </si>
  <si>
    <t>margine del 26</t>
  </si>
  <si>
    <t>margine 25</t>
  </si>
  <si>
    <t>diff. Per lavori cciaaa</t>
  </si>
  <si>
    <t>arrotondiamo a 50.000</t>
  </si>
  <si>
    <t>Risultato d'esercizio presunto 2018</t>
  </si>
  <si>
    <t>Risultato d'esercizio presunto 2019-2021</t>
  </si>
  <si>
    <t>Patrimonio a bilancio (cons. 2017)</t>
  </si>
  <si>
    <t>Patrimonio netto a fine 2021</t>
  </si>
  <si>
    <t>Venezia, 29.10.2018</t>
  </si>
  <si>
    <t>personale in avanzo</t>
  </si>
  <si>
    <t>cs</t>
  </si>
  <si>
    <t>inserito riga sotto</t>
  </si>
  <si>
    <t>cs infocamere</t>
  </si>
  <si>
    <t>cs cciaa vi</t>
  </si>
  <si>
    <t>MANCA RIPARTIZIONE PARTNERS</t>
  </si>
  <si>
    <t>totale costi prev. Ec.</t>
  </si>
  <si>
    <t>totale costi cassa</t>
  </si>
  <si>
    <t>B) ONERI GESTIONE CORRENTE</t>
  </si>
  <si>
    <t>B1) ONERI DELLA STRUTTURA</t>
  </si>
  <si>
    <t>B1.1) ORGANI ISTITUZIONALI</t>
  </si>
  <si>
    <t>ASSEST. 2015</t>
  </si>
  <si>
    <t>Gettoni</t>
  </si>
  <si>
    <t>Rimborsi vari per attività organi/incontri</t>
  </si>
  <si>
    <t>Indennità di carica al Presidente/consiglier</t>
  </si>
  <si>
    <t>Compenso Revisori dei Conti</t>
  </si>
  <si>
    <t>een</t>
  </si>
  <si>
    <t xml:space="preserve">gymnasium next 1 e 2 </t>
  </si>
  <si>
    <t>tutto trasferimenti a ue e resto mondo</t>
  </si>
  <si>
    <t>sunrise</t>
  </si>
  <si>
    <t>istituzioni sociali private</t>
  </si>
  <si>
    <t>csr in class</t>
  </si>
  <si>
    <t>amm. Pubbliche</t>
  </si>
  <si>
    <t>fp turismo e asc</t>
  </si>
  <si>
    <t>fp e gov</t>
  </si>
  <si>
    <t>regol. mercato</t>
  </si>
  <si>
    <t>beat</t>
  </si>
  <si>
    <t>2017-2018</t>
  </si>
  <si>
    <t>ap</t>
  </si>
  <si>
    <t>totale costo personale 2020</t>
  </si>
  <si>
    <t>BILANCIO PREVENTIVO 2020-2022</t>
  </si>
  <si>
    <t>Consuntivo 2018</t>
  </si>
  <si>
    <t>PREVENTIVO APPROVATO 2019</t>
  </si>
  <si>
    <t>PRECONSUNTIVO 2019</t>
  </si>
  <si>
    <t>PREVENTIVO 2022</t>
  </si>
  <si>
    <t xml:space="preserve">Contributo da CCIAA per iniziative varie </t>
  </si>
  <si>
    <t xml:space="preserve">Servizi comuni CCIAA </t>
  </si>
  <si>
    <t>Risultato presunto 2019</t>
  </si>
  <si>
    <t>Risultato d'esercizio presunto 2020-2022</t>
  </si>
  <si>
    <t>Patrimonio a bilancio (cons. 2018)</t>
  </si>
  <si>
    <t>Patrimonio netto a fine 2022</t>
  </si>
  <si>
    <t>di cui 50.000 di riserva straordinaria</t>
  </si>
  <si>
    <t>Venezia, 20 novembre 2019</t>
  </si>
  <si>
    <t>Risultato d'esercizio presunto 2020</t>
  </si>
  <si>
    <t>Patrimonio netto a fine 2020</t>
  </si>
  <si>
    <t>INTERSETTORIALI</t>
  </si>
  <si>
    <t>INTESETTORIALI</t>
  </si>
  <si>
    <t>collaboratori</t>
  </si>
  <si>
    <t>rass. Stampa</t>
  </si>
  <si>
    <t>Budget 2019</t>
  </si>
  <si>
    <t>Finanziamento UE</t>
  </si>
  <si>
    <t>Pre-financing</t>
  </si>
  <si>
    <t>Previsione rendicontato</t>
  </si>
  <si>
    <t>Finanziamento che dovremmo ricevere nel 2020</t>
  </si>
  <si>
    <t>Unioncamere del Veneto</t>
  </si>
  <si>
    <t>Budget 2020-2021</t>
  </si>
  <si>
    <t>Pre-financing 2020</t>
  </si>
  <si>
    <t>NOI</t>
  </si>
  <si>
    <t>CNR</t>
  </si>
  <si>
    <t>Partner</t>
  </si>
  <si>
    <t>kairos 20-21</t>
  </si>
  <si>
    <t>gymnasium next 1 e 2 tutto ue e resto del mondo</t>
  </si>
  <si>
    <t>Fondo perequativi</t>
  </si>
  <si>
    <t>tutti amministrazioni pubbliche</t>
  </si>
  <si>
    <t>asl fp da resituire</t>
  </si>
  <si>
    <t>REG MERC</t>
  </si>
  <si>
    <t>PARTNER EEN 2019</t>
  </si>
  <si>
    <t>PARTNER EEN 2020-2021</t>
  </si>
  <si>
    <t>ARIES</t>
  </si>
  <si>
    <t>Guarntee fund</t>
  </si>
  <si>
    <t>Transferred pre-financing</t>
  </si>
  <si>
    <t>Previsione rendicontato 2019</t>
  </si>
  <si>
    <t>ammesso a finanziamento</t>
  </si>
  <si>
    <t>Da trsferire</t>
  </si>
  <si>
    <t>UE</t>
  </si>
  <si>
    <t>AMM</t>
  </si>
  <si>
    <t>comp</t>
  </si>
  <si>
    <t>competitivita</t>
  </si>
  <si>
    <t>porto ve</t>
  </si>
  <si>
    <t>uni ts</t>
  </si>
  <si>
    <t>mare fvg</t>
  </si>
  <si>
    <t>ida</t>
  </si>
  <si>
    <t>concentro</t>
  </si>
  <si>
    <t>uni fiume</t>
  </si>
  <si>
    <t>amm</t>
  </si>
  <si>
    <t>imp</t>
  </si>
  <si>
    <t>reg. merc</t>
  </si>
  <si>
    <t>progetti</t>
  </si>
  <si>
    <t>trasf. Partner</t>
  </si>
  <si>
    <t>Proventi</t>
  </si>
  <si>
    <t>Rimborsi</t>
  </si>
  <si>
    <t>assest. Modificato sg a 60000</t>
  </si>
  <si>
    <t>Venezia, 17 giugno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</si>
</sst>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_-* #,##0.000_-;\-* #,##0.000_-;_-* &quot;-&quot;??_-;_-@_-"/>
    <numFmt numFmtId="174" formatCode="_-* #,##0.0000_-;\-* #,##0.000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0.00_ ;[Red]\-0.00\ "/>
    <numFmt numFmtId="185" formatCode="0_ ;[Red]\-0\ "/>
    <numFmt numFmtId="186" formatCode="#,##0_ ;[Red]\-#,##0\ "/>
    <numFmt numFmtId="187" formatCode="&quot;€&quot;\ #,##0.00"/>
    <numFmt numFmtId="188" formatCode="#,##0.00\ [$€-1];[Red]\-#,##0.00\ [$€-1]"/>
    <numFmt numFmtId="189" formatCode="0.00000000"/>
    <numFmt numFmtId="190" formatCode="0.0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Tahoma"/>
      <family val="2"/>
    </font>
    <font>
      <b/>
      <sz val="18"/>
      <name val="Arial"/>
      <family val="2"/>
    </font>
    <font>
      <b/>
      <sz val="13"/>
      <name val="Arial Narrow"/>
      <family val="2"/>
    </font>
    <font>
      <i/>
      <sz val="13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trike/>
      <sz val="13"/>
      <name val="Arial"/>
      <family val="2"/>
    </font>
    <font>
      <b/>
      <sz val="13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3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3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171" fontId="0" fillId="34" borderId="0" xfId="45" applyNumberFormat="1" applyFont="1" applyFill="1" applyBorder="1" applyAlignment="1">
      <alignment/>
    </xf>
    <xf numFmtId="43" fontId="0" fillId="0" borderId="0" xfId="0" applyNumberFormat="1" applyAlignment="1">
      <alignment/>
    </xf>
    <xf numFmtId="171" fontId="1" fillId="0" borderId="12" xfId="0" applyNumberFormat="1" applyFont="1" applyBorder="1" applyAlignment="1">
      <alignment/>
    </xf>
    <xf numFmtId="171" fontId="0" fillId="0" borderId="12" xfId="0" applyNumberFormat="1" applyBorder="1" applyAlignment="1">
      <alignment/>
    </xf>
    <xf numFmtId="43" fontId="0" fillId="0" borderId="0" xfId="45" applyFont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10" xfId="47" applyFont="1" applyBorder="1" applyAlignment="1">
      <alignment/>
    </xf>
    <xf numFmtId="43" fontId="1" fillId="0" borderId="10" xfId="45" applyFont="1" applyBorder="1" applyAlignment="1">
      <alignment/>
    </xf>
    <xf numFmtId="43" fontId="1" fillId="0" borderId="15" xfId="45" applyFont="1" applyBorder="1" applyAlignment="1">
      <alignment horizontal="center"/>
    </xf>
    <xf numFmtId="43" fontId="1" fillId="0" borderId="12" xfId="45" applyFont="1" applyBorder="1" applyAlignment="1">
      <alignment/>
    </xf>
    <xf numFmtId="43" fontId="0" fillId="34" borderId="12" xfId="45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34" borderId="12" xfId="45" applyFont="1" applyFill="1" applyBorder="1" applyAlignment="1">
      <alignment/>
    </xf>
    <xf numFmtId="43" fontId="0" fillId="0" borderId="10" xfId="45" applyFont="1" applyBorder="1" applyAlignment="1">
      <alignment horizontal="center" vertical="center" wrapText="1"/>
    </xf>
    <xf numFmtId="43" fontId="0" fillId="0" borderId="12" xfId="45" applyFont="1" applyFill="1" applyBorder="1" applyAlignment="1">
      <alignment/>
    </xf>
    <xf numFmtId="43" fontId="0" fillId="0" borderId="10" xfId="45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/>
    </xf>
    <xf numFmtId="171" fontId="0" fillId="0" borderId="12" xfId="0" applyNumberFormat="1" applyFont="1" applyBorder="1" applyAlignment="1">
      <alignment/>
    </xf>
    <xf numFmtId="43" fontId="0" fillId="0" borderId="15" xfId="45" applyFont="1" applyBorder="1" applyAlignment="1">
      <alignment horizontal="center" vertical="center" wrapText="1"/>
    </xf>
    <xf numFmtId="43" fontId="0" fillId="0" borderId="13" xfId="45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3" fontId="0" fillId="0" borderId="15" xfId="45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1" fontId="0" fillId="0" borderId="21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1" fillId="0" borderId="21" xfId="0" applyFont="1" applyBorder="1" applyAlignment="1">
      <alignment/>
    </xf>
    <xf numFmtId="171" fontId="0" fillId="0" borderId="21" xfId="45" applyNumberFormat="1" applyFont="1" applyBorder="1" applyAlignment="1">
      <alignment/>
    </xf>
    <xf numFmtId="171" fontId="1" fillId="0" borderId="21" xfId="45" applyNumberFormat="1" applyFont="1" applyBorder="1" applyAlignment="1">
      <alignment/>
    </xf>
    <xf numFmtId="43" fontId="0" fillId="0" borderId="21" xfId="45" applyFont="1" applyBorder="1" applyAlignment="1">
      <alignment/>
    </xf>
    <xf numFmtId="43" fontId="0" fillId="0" borderId="22" xfId="45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5" applyFont="1" applyBorder="1" applyAlignment="1">
      <alignment/>
    </xf>
    <xf numFmtId="1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43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0" fontId="1" fillId="0" borderId="0" xfId="59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43" fontId="4" fillId="0" borderId="10" xfId="47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3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3" fontId="0" fillId="0" borderId="17" xfId="45" applyFont="1" applyBorder="1" applyAlignment="1">
      <alignment/>
    </xf>
    <xf numFmtId="0" fontId="1" fillId="0" borderId="32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6" xfId="0" applyNumberFormat="1" applyFont="1" applyBorder="1" applyAlignment="1">
      <alignment/>
    </xf>
    <xf numFmtId="43" fontId="1" fillId="0" borderId="33" xfId="0" applyNumberFormat="1" applyFont="1" applyBorder="1" applyAlignment="1">
      <alignment/>
    </xf>
    <xf numFmtId="43" fontId="3" fillId="0" borderId="0" xfId="47" applyFont="1" applyBorder="1" applyAlignment="1">
      <alignment/>
    </xf>
    <xf numFmtId="43" fontId="6" fillId="0" borderId="27" xfId="47" applyFont="1" applyBorder="1" applyAlignment="1">
      <alignment/>
    </xf>
    <xf numFmtId="0" fontId="1" fillId="0" borderId="26" xfId="0" applyFont="1" applyBorder="1" applyAlignment="1">
      <alignment/>
    </xf>
    <xf numFmtId="0" fontId="7" fillId="0" borderId="0" xfId="0" applyFont="1" applyBorder="1" applyAlignment="1">
      <alignment/>
    </xf>
    <xf numFmtId="43" fontId="6" fillId="0" borderId="34" xfId="47" applyFont="1" applyBorder="1" applyAlignment="1">
      <alignment/>
    </xf>
    <xf numFmtId="43" fontId="7" fillId="0" borderId="35" xfId="45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43" fontId="0" fillId="0" borderId="43" xfId="47" applyFont="1" applyBorder="1" applyAlignment="1">
      <alignment/>
    </xf>
    <xf numFmtId="43" fontId="4" fillId="0" borderId="43" xfId="47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43" fontId="0" fillId="0" borderId="48" xfId="0" applyNumberFormat="1" applyBorder="1" applyAlignment="1">
      <alignment/>
    </xf>
    <xf numFmtId="43" fontId="1" fillId="0" borderId="48" xfId="0" applyNumberFormat="1" applyFont="1" applyBorder="1" applyAlignment="1">
      <alignment/>
    </xf>
    <xf numFmtId="0" fontId="0" fillId="0" borderId="43" xfId="0" applyFont="1" applyBorder="1" applyAlignment="1">
      <alignment/>
    </xf>
    <xf numFmtId="43" fontId="0" fillId="0" borderId="46" xfId="47" applyFont="1" applyBorder="1" applyAlignment="1">
      <alignment/>
    </xf>
    <xf numFmtId="0" fontId="0" fillId="0" borderId="0" xfId="0" applyFont="1" applyBorder="1" applyAlignment="1">
      <alignment wrapText="1"/>
    </xf>
    <xf numFmtId="43" fontId="7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43" fontId="6" fillId="0" borderId="10" xfId="47" applyFont="1" applyBorder="1" applyAlignment="1">
      <alignment/>
    </xf>
    <xf numFmtId="0" fontId="8" fillId="0" borderId="11" xfId="0" applyFont="1" applyBorder="1" applyAlignment="1">
      <alignment/>
    </xf>
    <xf numFmtId="43" fontId="6" fillId="0" borderId="12" xfId="47" applyFont="1" applyFill="1" applyBorder="1" applyAlignment="1">
      <alignment/>
    </xf>
    <xf numFmtId="43" fontId="10" fillId="0" borderId="10" xfId="47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43" fontId="0" fillId="35" borderId="10" xfId="45" applyFont="1" applyFill="1" applyBorder="1" applyAlignment="1">
      <alignment/>
    </xf>
    <xf numFmtId="0" fontId="0" fillId="0" borderId="0" xfId="0" applyFill="1" applyAlignment="1">
      <alignment/>
    </xf>
    <xf numFmtId="43" fontId="0" fillId="34" borderId="10" xfId="45" applyFont="1" applyFill="1" applyBorder="1" applyAlignment="1">
      <alignment/>
    </xf>
    <xf numFmtId="43" fontId="0" fillId="34" borderId="10" xfId="45" applyFont="1" applyFill="1" applyBorder="1" applyAlignment="1">
      <alignment/>
    </xf>
    <xf numFmtId="43" fontId="0" fillId="0" borderId="10" xfId="45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171" fontId="1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1" fontId="1" fillId="36" borderId="11" xfId="0" applyNumberFormat="1" applyFont="1" applyFill="1" applyBorder="1" applyAlignment="1">
      <alignment/>
    </xf>
    <xf numFmtId="171" fontId="0" fillId="0" borderId="5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32" xfId="0" applyBorder="1" applyAlignment="1">
      <alignment/>
    </xf>
    <xf numFmtId="43" fontId="6" fillId="0" borderId="0" xfId="47" applyFont="1" applyBorder="1" applyAlignment="1">
      <alignment/>
    </xf>
    <xf numFmtId="43" fontId="72" fillId="0" borderId="35" xfId="47" applyFont="1" applyBorder="1" applyAlignment="1">
      <alignment/>
    </xf>
    <xf numFmtId="43" fontId="0" fillId="0" borderId="24" xfId="47" applyFont="1" applyBorder="1" applyAlignment="1">
      <alignment/>
    </xf>
    <xf numFmtId="0" fontId="0" fillId="0" borderId="24" xfId="0" applyFont="1" applyBorder="1" applyAlignment="1">
      <alignment/>
    </xf>
    <xf numFmtId="43" fontId="0" fillId="0" borderId="29" xfId="45" applyFont="1" applyBorder="1" applyAlignment="1">
      <alignment/>
    </xf>
    <xf numFmtId="43" fontId="1" fillId="0" borderId="51" xfId="0" applyNumberFormat="1" applyFont="1" applyBorder="1" applyAlignment="1">
      <alignment/>
    </xf>
    <xf numFmtId="43" fontId="1" fillId="0" borderId="5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0" xfId="53" applyFont="1">
      <alignment/>
      <protection/>
    </xf>
    <xf numFmtId="184" fontId="13" fillId="37" borderId="12" xfId="53" applyNumberFormat="1" applyFont="1" applyFill="1" applyBorder="1" applyAlignment="1">
      <alignment horizontal="center"/>
      <protection/>
    </xf>
    <xf numFmtId="184" fontId="12" fillId="0" borderId="12" xfId="53" applyNumberFormat="1" applyFont="1" applyBorder="1" applyAlignment="1">
      <alignment horizontal="right"/>
      <protection/>
    </xf>
    <xf numFmtId="43" fontId="12" fillId="0" borderId="12" xfId="48" applyFont="1" applyBorder="1" applyAlignment="1">
      <alignment horizontal="right"/>
    </xf>
    <xf numFmtId="0" fontId="12" fillId="0" borderId="0" xfId="53" applyFont="1" applyBorder="1">
      <alignment/>
      <protection/>
    </xf>
    <xf numFmtId="3" fontId="13" fillId="0" borderId="12" xfId="48" applyNumberFormat="1" applyFont="1" applyBorder="1" applyAlignment="1">
      <alignment horizontal="right"/>
    </xf>
    <xf numFmtId="3" fontId="12" fillId="0" borderId="12" xfId="48" applyNumberFormat="1" applyFont="1" applyBorder="1" applyAlignment="1">
      <alignment horizontal="right"/>
    </xf>
    <xf numFmtId="0" fontId="1" fillId="37" borderId="0" xfId="53" applyFont="1" applyFill="1" applyBorder="1">
      <alignment/>
      <protection/>
    </xf>
    <xf numFmtId="0" fontId="0" fillId="37" borderId="0" xfId="53" applyFont="1" applyFill="1" applyBorder="1">
      <alignment/>
      <protection/>
    </xf>
    <xf numFmtId="3" fontId="12" fillId="0" borderId="12" xfId="48" applyNumberFormat="1" applyFont="1" applyFill="1" applyBorder="1" applyAlignment="1">
      <alignment horizontal="right"/>
    </xf>
    <xf numFmtId="184" fontId="0" fillId="0" borderId="12" xfId="53" applyNumberFormat="1" applyFont="1" applyBorder="1" applyAlignment="1">
      <alignment horizontal="right"/>
      <protection/>
    </xf>
    <xf numFmtId="171" fontId="0" fillId="0" borderId="0" xfId="53" applyNumberFormat="1" applyFont="1">
      <alignment/>
      <protection/>
    </xf>
    <xf numFmtId="0" fontId="20" fillId="37" borderId="0" xfId="53" applyFont="1" applyFill="1" applyBorder="1">
      <alignment/>
      <protection/>
    </xf>
    <xf numFmtId="0" fontId="20" fillId="0" borderId="0" xfId="53" applyFont="1" applyBorder="1" applyAlignment="1">
      <alignment horizontal="left" vertical="justify" wrapText="1"/>
      <protection/>
    </xf>
    <xf numFmtId="0" fontId="21" fillId="37" borderId="0" xfId="53" applyFont="1" applyFill="1" applyBorder="1">
      <alignment/>
      <protection/>
    </xf>
    <xf numFmtId="0" fontId="21" fillId="37" borderId="0" xfId="53" applyFont="1" applyFill="1" applyBorder="1" quotePrefix="1">
      <alignment/>
      <protection/>
    </xf>
    <xf numFmtId="0" fontId="20" fillId="37" borderId="0" xfId="53" applyFont="1" applyFill="1" applyBorder="1" quotePrefix="1">
      <alignment/>
      <protection/>
    </xf>
    <xf numFmtId="0" fontId="2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184" fontId="0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184" fontId="0" fillId="0" borderId="0" xfId="53" applyNumberFormat="1" applyFont="1" applyBorder="1" applyAlignment="1">
      <alignment horizontal="right"/>
      <protection/>
    </xf>
    <xf numFmtId="10" fontId="0" fillId="0" borderId="26" xfId="0" applyNumberFormat="1" applyBorder="1" applyAlignment="1">
      <alignment/>
    </xf>
    <xf numFmtId="0" fontId="73" fillId="0" borderId="54" xfId="0" applyFont="1" applyBorder="1" applyAlignment="1">
      <alignment/>
    </xf>
    <xf numFmtId="0" fontId="73" fillId="0" borderId="55" xfId="0" applyFont="1" applyBorder="1" applyAlignment="1">
      <alignment/>
    </xf>
    <xf numFmtId="0" fontId="73" fillId="0" borderId="52" xfId="0" applyFont="1" applyBorder="1" applyAlignment="1">
      <alignment/>
    </xf>
    <xf numFmtId="43" fontId="73" fillId="0" borderId="33" xfId="0" applyNumberFormat="1" applyFont="1" applyBorder="1" applyAlignment="1">
      <alignment/>
    </xf>
    <xf numFmtId="43" fontId="73" fillId="0" borderId="53" xfId="0" applyNumberFormat="1" applyFont="1" applyBorder="1" applyAlignment="1">
      <alignment/>
    </xf>
    <xf numFmtId="43" fontId="73" fillId="0" borderId="20" xfId="0" applyNumberFormat="1" applyFont="1" applyBorder="1" applyAlignment="1">
      <alignment/>
    </xf>
    <xf numFmtId="0" fontId="73" fillId="0" borderId="21" xfId="0" applyFont="1" applyBorder="1" applyAlignment="1">
      <alignment/>
    </xf>
    <xf numFmtId="0" fontId="73" fillId="0" borderId="25" xfId="0" applyFont="1" applyBorder="1" applyAlignment="1">
      <alignment/>
    </xf>
    <xf numFmtId="0" fontId="73" fillId="0" borderId="54" xfId="0" applyFont="1" applyFill="1" applyBorder="1" applyAlignment="1">
      <alignment/>
    </xf>
    <xf numFmtId="0" fontId="73" fillId="0" borderId="25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7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43" fontId="1" fillId="0" borderId="0" xfId="45" applyFont="1" applyAlignment="1">
      <alignment/>
    </xf>
    <xf numFmtId="43" fontId="74" fillId="0" borderId="0" xfId="0" applyNumberFormat="1" applyFont="1" applyAlignment="1">
      <alignment/>
    </xf>
    <xf numFmtId="43" fontId="74" fillId="0" borderId="0" xfId="45" applyFont="1" applyAlignment="1">
      <alignment/>
    </xf>
    <xf numFmtId="0" fontId="0" fillId="39" borderId="14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0" xfId="0" applyFont="1" applyAlignment="1">
      <alignment/>
    </xf>
    <xf numFmtId="171" fontId="0" fillId="0" borderId="16" xfId="0" applyNumberForma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34" borderId="14" xfId="0" applyNumberFormat="1" applyFont="1" applyFill="1" applyBorder="1" applyAlignment="1">
      <alignment/>
    </xf>
    <xf numFmtId="171" fontId="0" fillId="34" borderId="14" xfId="0" applyNumberForma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1" fillId="36" borderId="14" xfId="0" applyNumberFormat="1" applyFont="1" applyFill="1" applyBorder="1" applyAlignment="1">
      <alignment/>
    </xf>
    <xf numFmtId="171" fontId="1" fillId="0" borderId="12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3" fontId="0" fillId="0" borderId="0" xfId="53" applyNumberFormat="1" applyFont="1">
      <alignment/>
      <protection/>
    </xf>
    <xf numFmtId="171" fontId="0" fillId="38" borderId="21" xfId="45" applyNumberFormat="1" applyFont="1" applyFill="1" applyBorder="1" applyAlignment="1">
      <alignment/>
    </xf>
    <xf numFmtId="171" fontId="74" fillId="0" borderId="21" xfId="0" applyNumberFormat="1" applyFont="1" applyBorder="1" applyAlignment="1">
      <alignment/>
    </xf>
    <xf numFmtId="0" fontId="1" fillId="38" borderId="21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6" fillId="4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3" fontId="6" fillId="0" borderId="41" xfId="47" applyFont="1" applyBorder="1" applyAlignment="1">
      <alignment/>
    </xf>
    <xf numFmtId="43" fontId="6" fillId="0" borderId="42" xfId="47" applyFont="1" applyBorder="1" applyAlignment="1">
      <alignment wrapText="1"/>
    </xf>
    <xf numFmtId="0" fontId="6" fillId="40" borderId="28" xfId="0" applyFont="1" applyFill="1" applyBorder="1" applyAlignment="1">
      <alignment/>
    </xf>
    <xf numFmtId="43" fontId="6" fillId="0" borderId="43" xfId="47" applyFont="1" applyBorder="1" applyAlignment="1">
      <alignment wrapText="1"/>
    </xf>
    <xf numFmtId="43" fontId="6" fillId="0" borderId="35" xfId="47" applyFont="1" applyFill="1" applyBorder="1" applyAlignment="1">
      <alignment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43" fontId="6" fillId="0" borderId="48" xfId="47" applyFont="1" applyBorder="1" applyAlignment="1">
      <alignment/>
    </xf>
    <xf numFmtId="43" fontId="6" fillId="0" borderId="46" xfId="47" applyFont="1" applyBorder="1" applyAlignment="1">
      <alignment wrapText="1"/>
    </xf>
    <xf numFmtId="187" fontId="22" fillId="0" borderId="10" xfId="54" applyNumberFormat="1" applyFont="1" applyFill="1" applyBorder="1" applyAlignment="1">
      <alignment horizontal="center" vertical="center" wrapText="1"/>
      <protection/>
    </xf>
    <xf numFmtId="187" fontId="53" fillId="0" borderId="0" xfId="54" applyNumberFormat="1" applyAlignment="1">
      <alignment horizontal="center"/>
      <protection/>
    </xf>
    <xf numFmtId="187" fontId="22" fillId="41" borderId="50" xfId="54" applyNumberFormat="1" applyFont="1" applyFill="1" applyBorder="1" applyAlignment="1">
      <alignment horizontal="center" vertical="center" wrapText="1"/>
      <protection/>
    </xf>
    <xf numFmtId="187" fontId="53" fillId="41" borderId="0" xfId="54" applyNumberFormat="1" applyFill="1" applyAlignment="1">
      <alignment horizontal="center"/>
      <protection/>
    </xf>
    <xf numFmtId="187" fontId="53" fillId="34" borderId="0" xfId="54" applyNumberFormat="1" applyFill="1" applyAlignment="1">
      <alignment horizont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187" fontId="53" fillId="0" borderId="10" xfId="54" applyNumberFormat="1" applyBorder="1" applyAlignment="1">
      <alignment horizontal="left"/>
      <protection/>
    </xf>
    <xf numFmtId="0" fontId="23" fillId="0" borderId="0" xfId="0" applyFont="1" applyFill="1" applyBorder="1" applyAlignment="1">
      <alignment vertical="center" wrapText="1"/>
    </xf>
    <xf numFmtId="0" fontId="53" fillId="0" borderId="0" xfId="54">
      <alignment/>
      <protection/>
    </xf>
    <xf numFmtId="187" fontId="53" fillId="0" borderId="10" xfId="54" applyNumberFormat="1" applyBorder="1" applyAlignment="1">
      <alignment horizontal="left"/>
      <protection/>
    </xf>
    <xf numFmtId="187" fontId="11" fillId="0" borderId="0" xfId="54" applyNumberFormat="1" applyFont="1" applyAlignment="1">
      <alignment horizontal="center"/>
      <protection/>
    </xf>
    <xf numFmtId="0" fontId="9" fillId="0" borderId="10" xfId="54" applyFont="1" applyBorder="1">
      <alignment/>
      <protection/>
    </xf>
    <xf numFmtId="0" fontId="18" fillId="0" borderId="10" xfId="54" applyFont="1" applyFill="1" applyBorder="1" applyAlignment="1">
      <alignment horizontal="justify" vertical="top" wrapText="1"/>
      <protection/>
    </xf>
    <xf numFmtId="187" fontId="53" fillId="0" borderId="0" xfId="54" applyNumberFormat="1" applyFill="1" applyBorder="1" applyAlignment="1">
      <alignment horizontal="left"/>
      <protection/>
    </xf>
    <xf numFmtId="0" fontId="26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 wrapText="1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43" fontId="1" fillId="0" borderId="10" xfId="47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7" fontId="53" fillId="0" borderId="10" xfId="54" applyNumberFormat="1" applyBorder="1" applyAlignment="1">
      <alignment horizontal="center"/>
      <protection/>
    </xf>
    <xf numFmtId="169" fontId="0" fillId="0" borderId="0" xfId="0" applyNumberFormat="1" applyAlignment="1">
      <alignment/>
    </xf>
    <xf numFmtId="43" fontId="0" fillId="38" borderId="0" xfId="0" applyNumberFormat="1" applyFill="1" applyAlignment="1">
      <alignment/>
    </xf>
    <xf numFmtId="171" fontId="0" fillId="0" borderId="56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8" xfId="0" applyNumberFormat="1" applyBorder="1" applyAlignment="1">
      <alignment/>
    </xf>
    <xf numFmtId="43" fontId="1" fillId="0" borderId="10" xfId="47" applyFont="1" applyBorder="1" applyAlignment="1">
      <alignment horizontal="center" vertical="center" wrapText="1"/>
    </xf>
    <xf numFmtId="43" fontId="1" fillId="0" borderId="11" xfId="47" applyFont="1" applyBorder="1" applyAlignment="1">
      <alignment horizontal="center" vertical="center" wrapText="1"/>
    </xf>
    <xf numFmtId="43" fontId="0" fillId="0" borderId="29" xfId="47" applyFont="1" applyBorder="1" applyAlignment="1">
      <alignment/>
    </xf>
    <xf numFmtId="171" fontId="0" fillId="0" borderId="12" xfId="47" applyNumberFormat="1" applyFont="1" applyBorder="1" applyAlignment="1">
      <alignment horizontal="center" vertical="center" wrapText="1"/>
    </xf>
    <xf numFmtId="171" fontId="0" fillId="0" borderId="15" xfId="47" applyNumberFormat="1" applyFont="1" applyBorder="1" applyAlignment="1">
      <alignment horizontal="center" vertical="center" wrapText="1"/>
    </xf>
    <xf numFmtId="171" fontId="0" fillId="0" borderId="29" xfId="47" applyNumberFormat="1" applyFont="1" applyBorder="1" applyAlignment="1">
      <alignment/>
    </xf>
    <xf numFmtId="171" fontId="0" fillId="0" borderId="12" xfId="47" applyNumberFormat="1" applyFont="1" applyBorder="1" applyAlignment="1">
      <alignment/>
    </xf>
    <xf numFmtId="171" fontId="1" fillId="0" borderId="12" xfId="47" applyNumberFormat="1" applyFont="1" applyBorder="1" applyAlignment="1">
      <alignment/>
    </xf>
    <xf numFmtId="171" fontId="1" fillId="0" borderId="12" xfId="47" applyNumberFormat="1" applyFont="1" applyBorder="1" applyAlignment="1">
      <alignment horizontal="center"/>
    </xf>
    <xf numFmtId="171" fontId="0" fillId="34" borderId="14" xfId="47" applyNumberFormat="1" applyFont="1" applyFill="1" applyBorder="1" applyAlignment="1">
      <alignment/>
    </xf>
    <xf numFmtId="171" fontId="1" fillId="34" borderId="10" xfId="47" applyNumberFormat="1" applyFont="1" applyFill="1" applyBorder="1" applyAlignment="1">
      <alignment/>
    </xf>
    <xf numFmtId="171" fontId="0" fillId="0" borderId="12" xfId="47" applyNumberFormat="1" applyFont="1" applyBorder="1" applyAlignment="1">
      <alignment/>
    </xf>
    <xf numFmtId="171" fontId="0" fillId="34" borderId="14" xfId="47" applyNumberFormat="1" applyFont="1" applyFill="1" applyBorder="1" applyAlignment="1">
      <alignment/>
    </xf>
    <xf numFmtId="171" fontId="0" fillId="34" borderId="10" xfId="47" applyNumberFormat="1" applyFont="1" applyFill="1" applyBorder="1" applyAlignment="1">
      <alignment/>
    </xf>
    <xf numFmtId="171" fontId="0" fillId="0" borderId="16" xfId="47" applyNumberFormat="1" applyFont="1" applyBorder="1" applyAlignment="1">
      <alignment/>
    </xf>
    <xf numFmtId="171" fontId="0" fillId="0" borderId="0" xfId="47" applyNumberFormat="1" applyFont="1" applyBorder="1" applyAlignment="1">
      <alignment/>
    </xf>
    <xf numFmtId="43" fontId="0" fillId="0" borderId="0" xfId="47" applyFont="1" applyAlignment="1">
      <alignment/>
    </xf>
    <xf numFmtId="43" fontId="0" fillId="0" borderId="21" xfId="45" applyFont="1" applyBorder="1" applyAlignment="1">
      <alignment/>
    </xf>
    <xf numFmtId="43" fontId="73" fillId="0" borderId="21" xfId="0" applyNumberFormat="1" applyFont="1" applyBorder="1" applyAlignment="1">
      <alignment/>
    </xf>
    <xf numFmtId="0" fontId="74" fillId="0" borderId="22" xfId="0" applyFont="1" applyBorder="1" applyAlignment="1">
      <alignment/>
    </xf>
    <xf numFmtId="43" fontId="74" fillId="0" borderId="0" xfId="45" applyFont="1" applyBorder="1" applyAlignment="1">
      <alignment/>
    </xf>
    <xf numFmtId="43" fontId="0" fillId="0" borderId="21" xfId="0" applyNumberFormat="1" applyFont="1" applyBorder="1" applyAlignment="1">
      <alignment/>
    </xf>
    <xf numFmtId="171" fontId="0" fillId="42" borderId="54" xfId="45" applyNumberFormat="1" applyFont="1" applyFill="1" applyBorder="1" applyAlignment="1">
      <alignment/>
    </xf>
    <xf numFmtId="0" fontId="0" fillId="42" borderId="55" xfId="0" applyFont="1" applyFill="1" applyBorder="1" applyAlignment="1">
      <alignment/>
    </xf>
    <xf numFmtId="43" fontId="0" fillId="42" borderId="32" xfId="0" applyNumberFormat="1" applyFont="1" applyFill="1" applyBorder="1" applyAlignment="1">
      <alignment/>
    </xf>
    <xf numFmtId="171" fontId="12" fillId="0" borderId="12" xfId="60" applyNumberFormat="1" applyFont="1" applyFill="1" applyBorder="1" applyAlignment="1">
      <alignment horizontal="right"/>
    </xf>
    <xf numFmtId="171" fontId="12" fillId="0" borderId="12" xfId="48" applyNumberFormat="1" applyFont="1" applyFill="1" applyBorder="1" applyAlignment="1">
      <alignment horizontal="right"/>
    </xf>
    <xf numFmtId="3" fontId="17" fillId="0" borderId="12" xfId="48" applyNumberFormat="1" applyFont="1" applyFill="1" applyBorder="1" applyAlignment="1">
      <alignment horizontal="right"/>
    </xf>
    <xf numFmtId="184" fontId="0" fillId="0" borderId="0" xfId="53" applyNumberFormat="1" applyFont="1" applyFill="1" applyBorder="1" applyAlignment="1">
      <alignment horizontal="right"/>
      <protection/>
    </xf>
    <xf numFmtId="171" fontId="13" fillId="0" borderId="12" xfId="60" applyNumberFormat="1" applyFont="1" applyFill="1" applyBorder="1" applyAlignment="1">
      <alignment horizontal="right"/>
    </xf>
    <xf numFmtId="171" fontId="12" fillId="0" borderId="12" xfId="53" applyNumberFormat="1" applyFont="1" applyFill="1" applyBorder="1" applyAlignment="1">
      <alignment horizontal="right"/>
      <protection/>
    </xf>
    <xf numFmtId="184" fontId="0" fillId="0" borderId="12" xfId="53" applyNumberFormat="1" applyFont="1" applyFill="1" applyBorder="1" applyAlignment="1">
      <alignment horizontal="right"/>
      <protection/>
    </xf>
    <xf numFmtId="171" fontId="12" fillId="0" borderId="12" xfId="48" applyNumberFormat="1" applyFont="1" applyFill="1" applyBorder="1" applyAlignment="1" quotePrefix="1">
      <alignment horizontal="right"/>
    </xf>
    <xf numFmtId="171" fontId="13" fillId="0" borderId="12" xfId="48" applyNumberFormat="1" applyFont="1" applyFill="1" applyBorder="1" applyAlignment="1">
      <alignment horizontal="right"/>
    </xf>
    <xf numFmtId="43" fontId="20" fillId="0" borderId="0" xfId="48" applyFont="1" applyFill="1" applyBorder="1" applyAlignment="1">
      <alignment horizontal="right"/>
    </xf>
    <xf numFmtId="184" fontId="20" fillId="0" borderId="0" xfId="53" applyNumberFormat="1" applyFont="1" applyFill="1" applyBorder="1" applyAlignment="1">
      <alignment horizontal="right"/>
      <protection/>
    </xf>
    <xf numFmtId="184" fontId="0" fillId="0" borderId="0" xfId="53" applyNumberFormat="1" applyFont="1" applyFill="1" applyAlignment="1">
      <alignment horizontal="right"/>
      <protection/>
    </xf>
    <xf numFmtId="3" fontId="0" fillId="0" borderId="22" xfId="0" applyNumberFormat="1" applyBorder="1" applyAlignment="1">
      <alignment/>
    </xf>
    <xf numFmtId="0" fontId="1" fillId="0" borderId="52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horizontal="right" vertical="center"/>
    </xf>
    <xf numFmtId="187" fontId="53" fillId="0" borderId="10" xfId="54" applyNumberFormat="1" applyBorder="1" applyAlignment="1">
      <alignment horizontal="left"/>
      <protection/>
    </xf>
    <xf numFmtId="187" fontId="53" fillId="34" borderId="0" xfId="54" applyNumberFormat="1" applyFill="1" applyAlignment="1">
      <alignment horizontal="center"/>
      <protection/>
    </xf>
    <xf numFmtId="187" fontId="53" fillId="0" borderId="0" xfId="54" applyNumberFormat="1" applyAlignment="1">
      <alignment horizontal="center"/>
      <protection/>
    </xf>
    <xf numFmtId="0" fontId="53" fillId="0" borderId="0" xfId="54">
      <alignment/>
      <protection/>
    </xf>
    <xf numFmtId="187" fontId="53" fillId="0" borderId="10" xfId="54" applyNumberFormat="1" applyBorder="1" applyAlignment="1">
      <alignment horizontal="left"/>
      <protection/>
    </xf>
    <xf numFmtId="187" fontId="53" fillId="0" borderId="10" xfId="54" applyNumberFormat="1" applyBorder="1" applyAlignment="1">
      <alignment horizontal="center"/>
      <protection/>
    </xf>
    <xf numFmtId="187" fontId="53" fillId="0" borderId="0" xfId="54" applyNumberFormat="1" applyFill="1" applyBorder="1" applyAlignment="1">
      <alignment horizontal="left"/>
      <protection/>
    </xf>
    <xf numFmtId="43" fontId="0" fillId="0" borderId="23" xfId="45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187" fontId="1" fillId="0" borderId="43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33" xfId="0" applyFill="1" applyBorder="1" applyAlignment="1">
      <alignment/>
    </xf>
    <xf numFmtId="4" fontId="0" fillId="0" borderId="53" xfId="0" applyNumberFormat="1" applyFill="1" applyBorder="1" applyAlignment="1">
      <alignment/>
    </xf>
    <xf numFmtId="0" fontId="0" fillId="0" borderId="53" xfId="0" applyFill="1" applyBorder="1" applyAlignment="1">
      <alignment/>
    </xf>
    <xf numFmtId="2" fontId="0" fillId="0" borderId="51" xfId="0" applyNumberFormat="1" applyFill="1" applyBorder="1" applyAlignment="1">
      <alignment/>
    </xf>
    <xf numFmtId="2" fontId="0" fillId="0" borderId="60" xfId="0" applyNumberFormat="1" applyFill="1" applyBorder="1" applyAlignment="1">
      <alignment/>
    </xf>
    <xf numFmtId="0" fontId="0" fillId="0" borderId="61" xfId="0" applyFill="1" applyBorder="1" applyAlignment="1">
      <alignment/>
    </xf>
    <xf numFmtId="43" fontId="75" fillId="0" borderId="0" xfId="0" applyNumberFormat="1" applyFont="1" applyBorder="1" applyAlignment="1">
      <alignment/>
    </xf>
    <xf numFmtId="43" fontId="0" fillId="0" borderId="0" xfId="0" applyNumberFormat="1" applyFill="1" applyBorder="1" applyAlignment="1">
      <alignment/>
    </xf>
    <xf numFmtId="0" fontId="12" fillId="0" borderId="0" xfId="53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37" borderId="0" xfId="53" applyFont="1" applyFill="1" applyBorder="1" applyAlignment="1">
      <alignment horizontal="center" vertical="center" wrapText="1"/>
      <protection/>
    </xf>
    <xf numFmtId="3" fontId="13" fillId="0" borderId="58" xfId="53" applyNumberFormat="1" applyFont="1" applyBorder="1" applyAlignment="1">
      <alignment horizontal="center"/>
      <protection/>
    </xf>
    <xf numFmtId="3" fontId="13" fillId="0" borderId="10" xfId="53" applyNumberFormat="1" applyFont="1" applyBorder="1" applyAlignment="1">
      <alignment horizontal="center"/>
      <protection/>
    </xf>
    <xf numFmtId="3" fontId="15" fillId="0" borderId="10" xfId="53" applyNumberFormat="1" applyFont="1" applyFill="1" applyBorder="1" applyAlignment="1">
      <alignment horizontal="center"/>
      <protection/>
    </xf>
    <xf numFmtId="184" fontId="16" fillId="0" borderId="10" xfId="56" applyNumberFormat="1" applyFont="1" applyBorder="1" applyAlignment="1">
      <alignment horizontal="center" vertical="top" wrapText="1"/>
      <protection/>
    </xf>
    <xf numFmtId="184" fontId="16" fillId="0" borderId="14" xfId="56" applyNumberFormat="1" applyFont="1" applyBorder="1" applyAlignment="1">
      <alignment horizontal="center" vertical="top" wrapText="1"/>
      <protection/>
    </xf>
    <xf numFmtId="184" fontId="16" fillId="0" borderId="43" xfId="56" applyNumberFormat="1" applyFont="1" applyBorder="1" applyAlignment="1">
      <alignment horizontal="center" vertical="top" wrapText="1"/>
      <protection/>
    </xf>
    <xf numFmtId="184" fontId="16" fillId="0" borderId="0" xfId="56" applyNumberFormat="1" applyFont="1" applyBorder="1" applyAlignment="1">
      <alignment horizontal="center" vertical="top" wrapText="1"/>
      <protection/>
    </xf>
    <xf numFmtId="3" fontId="13" fillId="0" borderId="62" xfId="53" applyNumberFormat="1" applyFont="1" applyBorder="1" applyAlignment="1">
      <alignment horizontal="center"/>
      <protection/>
    </xf>
    <xf numFmtId="3" fontId="13" fillId="0" borderId="12" xfId="53" applyNumberFormat="1" applyFont="1" applyBorder="1" applyAlignment="1">
      <alignment horizontal="center"/>
      <protection/>
    </xf>
    <xf numFmtId="184" fontId="13" fillId="37" borderId="16" xfId="53" applyNumberFormat="1" applyFont="1" applyFill="1" applyBorder="1" applyAlignment="1">
      <alignment horizontal="center"/>
      <protection/>
    </xf>
    <xf numFmtId="0" fontId="0" fillId="0" borderId="35" xfId="53" applyFont="1" applyBorder="1">
      <alignment/>
      <protection/>
    </xf>
    <xf numFmtId="184" fontId="12" fillId="0" borderId="16" xfId="53" applyNumberFormat="1" applyFont="1" applyBorder="1" applyAlignment="1">
      <alignment horizontal="right"/>
      <protection/>
    </xf>
    <xf numFmtId="0" fontId="13" fillId="0" borderId="62" xfId="53" applyFont="1" applyBorder="1">
      <alignment/>
      <protection/>
    </xf>
    <xf numFmtId="0" fontId="13" fillId="0" borderId="12" xfId="53" applyFont="1" applyBorder="1">
      <alignment/>
      <protection/>
    </xf>
    <xf numFmtId="43" fontId="12" fillId="0" borderId="16" xfId="48" applyFont="1" applyBorder="1" applyAlignment="1">
      <alignment horizontal="right"/>
    </xf>
    <xf numFmtId="0" fontId="12" fillId="0" borderId="62" xfId="53" applyFont="1" applyBorder="1">
      <alignment/>
      <protection/>
    </xf>
    <xf numFmtId="0" fontId="12" fillId="0" borderId="12" xfId="53" applyFont="1" applyBorder="1">
      <alignment/>
      <protection/>
    </xf>
    <xf numFmtId="0" fontId="13" fillId="37" borderId="12" xfId="53" applyFont="1" applyFill="1" applyBorder="1">
      <alignment/>
      <protection/>
    </xf>
    <xf numFmtId="3" fontId="13" fillId="0" borderId="16" xfId="48" applyNumberFormat="1" applyFont="1" applyBorder="1" applyAlignment="1">
      <alignment horizontal="right"/>
    </xf>
    <xf numFmtId="3" fontId="13" fillId="0" borderId="35" xfId="53" applyNumberFormat="1" applyFont="1" applyBorder="1">
      <alignment/>
      <protection/>
    </xf>
    <xf numFmtId="3" fontId="13" fillId="0" borderId="0" xfId="53" applyNumberFormat="1" applyFont="1" applyBorder="1">
      <alignment/>
      <protection/>
    </xf>
    <xf numFmtId="0" fontId="28" fillId="37" borderId="12" xfId="53" applyFont="1" applyFill="1" applyBorder="1">
      <alignment/>
      <protection/>
    </xf>
    <xf numFmtId="3" fontId="12" fillId="0" borderId="16" xfId="48" applyNumberFormat="1" applyFont="1" applyFill="1" applyBorder="1" applyAlignment="1">
      <alignment horizontal="right"/>
    </xf>
    <xf numFmtId="3" fontId="76" fillId="0" borderId="16" xfId="48" applyNumberFormat="1" applyFont="1" applyFill="1" applyBorder="1" applyAlignment="1">
      <alignment horizontal="right"/>
    </xf>
    <xf numFmtId="3" fontId="13" fillId="0" borderId="29" xfId="48" applyNumberFormat="1" applyFont="1" applyBorder="1" applyAlignment="1">
      <alignment horizontal="right"/>
    </xf>
    <xf numFmtId="0" fontId="13" fillId="0" borderId="12" xfId="53" applyFont="1" applyFill="1" applyBorder="1">
      <alignment/>
      <protection/>
    </xf>
    <xf numFmtId="3" fontId="29" fillId="0" borderId="35" xfId="53" applyNumberFormat="1" applyFont="1" applyBorder="1">
      <alignment/>
      <protection/>
    </xf>
    <xf numFmtId="3" fontId="29" fillId="0" borderId="0" xfId="53" applyNumberFormat="1" applyFont="1" applyBorder="1">
      <alignment/>
      <protection/>
    </xf>
    <xf numFmtId="171" fontId="12" fillId="0" borderId="16" xfId="60" applyNumberFormat="1" applyFont="1" applyFill="1" applyBorder="1" applyAlignment="1">
      <alignment horizontal="right"/>
    </xf>
    <xf numFmtId="0" fontId="12" fillId="0" borderId="35" xfId="53" applyFont="1" applyBorder="1">
      <alignment/>
      <protection/>
    </xf>
    <xf numFmtId="43" fontId="12" fillId="0" borderId="12" xfId="47" applyFont="1" applyFill="1" applyBorder="1" applyAlignment="1">
      <alignment horizontal="right"/>
    </xf>
    <xf numFmtId="171" fontId="12" fillId="0" borderId="16" xfId="48" applyNumberFormat="1" applyFont="1" applyFill="1" applyBorder="1" applyAlignment="1">
      <alignment horizontal="right"/>
    </xf>
    <xf numFmtId="3" fontId="12" fillId="0" borderId="35" xfId="53" applyNumberFormat="1" applyFont="1" applyBorder="1">
      <alignment/>
      <protection/>
    </xf>
    <xf numFmtId="3" fontId="12" fillId="0" borderId="0" xfId="53" applyNumberFormat="1" applyFont="1" applyBorder="1">
      <alignment/>
      <protection/>
    </xf>
    <xf numFmtId="4" fontId="0" fillId="0" borderId="0" xfId="53" applyNumberFormat="1" applyFont="1">
      <alignment/>
      <protection/>
    </xf>
    <xf numFmtId="43" fontId="3" fillId="0" borderId="0" xfId="47" applyFont="1" applyAlignment="1">
      <alignment/>
    </xf>
    <xf numFmtId="0" fontId="12" fillId="0" borderId="12" xfId="53" applyFont="1" applyFill="1" applyBorder="1">
      <alignment/>
      <protection/>
    </xf>
    <xf numFmtId="0" fontId="19" fillId="0" borderId="12" xfId="53" applyFont="1" applyFill="1" applyBorder="1">
      <alignment/>
      <protection/>
    </xf>
    <xf numFmtId="3" fontId="17" fillId="0" borderId="16" xfId="48" applyNumberFormat="1" applyFont="1" applyFill="1" applyBorder="1" applyAlignment="1">
      <alignment horizontal="right"/>
    </xf>
    <xf numFmtId="171" fontId="13" fillId="0" borderId="16" xfId="60" applyNumberFormat="1" applyFont="1" applyFill="1" applyBorder="1" applyAlignment="1">
      <alignment horizontal="right"/>
    </xf>
    <xf numFmtId="0" fontId="13" fillId="0" borderId="12" xfId="53" applyFont="1" applyBorder="1" applyAlignment="1">
      <alignment vertical="center" wrapText="1"/>
      <protection/>
    </xf>
    <xf numFmtId="0" fontId="12" fillId="0" borderId="12" xfId="53" applyFont="1" applyBorder="1" applyAlignment="1">
      <alignment vertical="center" wrapText="1"/>
      <protection/>
    </xf>
    <xf numFmtId="171" fontId="12" fillId="0" borderId="16" xfId="53" applyNumberFormat="1" applyFont="1" applyFill="1" applyBorder="1" applyAlignment="1">
      <alignment horizontal="right"/>
      <protection/>
    </xf>
    <xf numFmtId="0" fontId="1" fillId="0" borderId="12" xfId="53" applyFont="1" applyBorder="1">
      <alignment/>
      <protection/>
    </xf>
    <xf numFmtId="43" fontId="0" fillId="0" borderId="0" xfId="47" applyFont="1" applyAlignment="1">
      <alignment/>
    </xf>
    <xf numFmtId="184" fontId="0" fillId="0" borderId="16" xfId="53" applyNumberFormat="1" applyFont="1" applyFill="1" applyBorder="1" applyAlignment="1">
      <alignment horizontal="right"/>
      <protection/>
    </xf>
    <xf numFmtId="0" fontId="12" fillId="37" borderId="62" xfId="53" applyFont="1" applyFill="1" applyBorder="1">
      <alignment/>
      <protection/>
    </xf>
    <xf numFmtId="171" fontId="13" fillId="0" borderId="12" xfId="48" applyNumberFormat="1" applyFont="1" applyFill="1" applyBorder="1" applyAlignment="1">
      <alignment/>
    </xf>
    <xf numFmtId="171" fontId="12" fillId="0" borderId="12" xfId="48" applyNumberFormat="1" applyFont="1" applyFill="1" applyBorder="1" applyAlignment="1">
      <alignment/>
    </xf>
    <xf numFmtId="171" fontId="12" fillId="0" borderId="16" xfId="48" applyNumberFormat="1" applyFont="1" applyFill="1" applyBorder="1" applyAlignment="1">
      <alignment/>
    </xf>
    <xf numFmtId="38" fontId="13" fillId="0" borderId="12" xfId="48" applyNumberFormat="1" applyFont="1" applyFill="1" applyBorder="1" applyAlignment="1">
      <alignment horizontal="right"/>
    </xf>
    <xf numFmtId="0" fontId="13" fillId="37" borderId="62" xfId="53" applyFont="1" applyFill="1" applyBorder="1">
      <alignment/>
      <protection/>
    </xf>
    <xf numFmtId="0" fontId="12" fillId="37" borderId="12" xfId="53" applyFont="1" applyFill="1" applyBorder="1">
      <alignment/>
      <protection/>
    </xf>
    <xf numFmtId="0" fontId="12" fillId="37" borderId="12" xfId="53" applyFont="1" applyFill="1" applyBorder="1" quotePrefix="1">
      <alignment/>
      <protection/>
    </xf>
    <xf numFmtId="171" fontId="12" fillId="0" borderId="16" xfId="48" applyNumberFormat="1" applyFont="1" applyFill="1" applyBorder="1" applyAlignment="1" quotePrefix="1">
      <alignment horizontal="right"/>
    </xf>
    <xf numFmtId="38" fontId="13" fillId="0" borderId="16" xfId="48" applyNumberFormat="1" applyFont="1" applyFill="1" applyBorder="1" applyAlignment="1">
      <alignment horizontal="right"/>
    </xf>
    <xf numFmtId="171" fontId="13" fillId="0" borderId="16" xfId="48" applyNumberFormat="1" applyFont="1" applyFill="1" applyBorder="1" applyAlignment="1">
      <alignment horizontal="right"/>
    </xf>
    <xf numFmtId="171" fontId="29" fillId="0" borderId="12" xfId="48" applyNumberFormat="1" applyFont="1" applyFill="1" applyBorder="1" applyAlignment="1">
      <alignment horizontal="right"/>
    </xf>
    <xf numFmtId="186" fontId="13" fillId="0" borderId="0" xfId="48" applyNumberFormat="1" applyFont="1" applyFill="1" applyBorder="1" applyAlignment="1">
      <alignment horizontal="right" vertical="center" wrapText="1"/>
    </xf>
    <xf numFmtId="0" fontId="12" fillId="37" borderId="63" xfId="53" applyFont="1" applyFill="1" applyBorder="1">
      <alignment/>
      <protection/>
    </xf>
    <xf numFmtId="186" fontId="12" fillId="0" borderId="0" xfId="48" applyNumberFormat="1" applyFont="1" applyFill="1" applyBorder="1" applyAlignment="1">
      <alignment horizontal="right" vertical="center" wrapText="1"/>
    </xf>
    <xf numFmtId="43" fontId="20" fillId="0" borderId="27" xfId="48" applyFont="1" applyFill="1" applyBorder="1" applyAlignment="1">
      <alignment horizontal="right" vertical="justify" wrapText="1"/>
    </xf>
    <xf numFmtId="186" fontId="13" fillId="0" borderId="27" xfId="48" applyNumberFormat="1" applyFont="1" applyFill="1" applyBorder="1" applyAlignment="1">
      <alignment horizontal="right" vertical="center" wrapText="1"/>
    </xf>
    <xf numFmtId="3" fontId="0" fillId="0" borderId="27" xfId="53" applyNumberFormat="1" applyFont="1" applyBorder="1">
      <alignment/>
      <protection/>
    </xf>
    <xf numFmtId="3" fontId="0" fillId="0" borderId="0" xfId="53" applyNumberFormat="1" applyFont="1" applyBorder="1">
      <alignment/>
      <protection/>
    </xf>
    <xf numFmtId="43" fontId="13" fillId="0" borderId="0" xfId="47" applyFont="1" applyFill="1" applyBorder="1" applyAlignment="1">
      <alignment horizontal="right" vertical="center" wrapText="1"/>
    </xf>
    <xf numFmtId="186" fontId="0" fillId="0" borderId="52" xfId="53" applyNumberFormat="1" applyFont="1" applyBorder="1">
      <alignment/>
      <protection/>
    </xf>
    <xf numFmtId="0" fontId="20" fillId="0" borderId="25" xfId="53" applyFont="1" applyBorder="1" applyAlignment="1">
      <alignment/>
      <protection/>
    </xf>
    <xf numFmtId="0" fontId="20" fillId="0" borderId="26" xfId="53" applyFont="1" applyBorder="1" applyAlignment="1">
      <alignment/>
      <protection/>
    </xf>
    <xf numFmtId="0" fontId="20" fillId="0" borderId="23" xfId="53" applyFont="1" applyBorder="1" applyAlignment="1">
      <alignment/>
      <protection/>
    </xf>
    <xf numFmtId="43" fontId="0" fillId="0" borderId="52" xfId="47" applyFont="1" applyBorder="1" applyAlignment="1">
      <alignment/>
    </xf>
    <xf numFmtId="43" fontId="0" fillId="0" borderId="0" xfId="53" applyNumberFormat="1" applyFont="1">
      <alignment/>
      <protection/>
    </xf>
    <xf numFmtId="43" fontId="0" fillId="0" borderId="22" xfId="0" applyNumberFormat="1" applyFont="1" applyBorder="1" applyAlignment="1">
      <alignment/>
    </xf>
    <xf numFmtId="43" fontId="0" fillId="0" borderId="22" xfId="45" applyFont="1" applyBorder="1" applyAlignment="1">
      <alignment/>
    </xf>
    <xf numFmtId="43" fontId="0" fillId="0" borderId="0" xfId="45" applyFont="1" applyBorder="1" applyAlignment="1">
      <alignment/>
    </xf>
    <xf numFmtId="43" fontId="0" fillId="42" borderId="55" xfId="0" applyNumberFormat="1" applyFont="1" applyFill="1" applyBorder="1" applyAlignment="1">
      <alignment/>
    </xf>
    <xf numFmtId="43" fontId="75" fillId="0" borderId="0" xfId="45" applyFont="1" applyBorder="1" applyAlignment="1">
      <alignment/>
    </xf>
    <xf numFmtId="43" fontId="77" fillId="0" borderId="23" xfId="0" applyNumberFormat="1" applyFont="1" applyBorder="1" applyAlignment="1">
      <alignment/>
    </xf>
    <xf numFmtId="14" fontId="0" fillId="0" borderId="0" xfId="0" applyNumberFormat="1" applyAlignment="1">
      <alignment/>
    </xf>
    <xf numFmtId="43" fontId="74" fillId="0" borderId="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30" fillId="0" borderId="0" xfId="55" applyFont="1">
      <alignment/>
      <protection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1" fillId="0" borderId="10" xfId="55" applyFont="1" applyBorder="1">
      <alignment/>
      <protection/>
    </xf>
    <xf numFmtId="0" fontId="0" fillId="0" borderId="10" xfId="55" applyBorder="1">
      <alignment/>
      <protection/>
    </xf>
    <xf numFmtId="0" fontId="1" fillId="0" borderId="14" xfId="55" applyFont="1" applyBorder="1" applyAlignment="1">
      <alignment/>
      <protection/>
    </xf>
    <xf numFmtId="0" fontId="1" fillId="0" borderId="17" xfId="55" applyFont="1" applyBorder="1" applyAlignment="1">
      <alignment/>
      <protection/>
    </xf>
    <xf numFmtId="0" fontId="1" fillId="0" borderId="11" xfId="55" applyFont="1" applyBorder="1" applyAlignment="1">
      <alignment/>
      <protection/>
    </xf>
    <xf numFmtId="0" fontId="0" fillId="0" borderId="14" xfId="55" applyBorder="1">
      <alignment/>
      <protection/>
    </xf>
    <xf numFmtId="0" fontId="0" fillId="0" borderId="17" xfId="55" applyBorder="1">
      <alignment/>
      <protection/>
    </xf>
    <xf numFmtId="0" fontId="0" fillId="0" borderId="11" xfId="55" applyBorder="1">
      <alignment/>
      <protection/>
    </xf>
    <xf numFmtId="43" fontId="0" fillId="0" borderId="11" xfId="55" applyNumberFormat="1" applyBorder="1">
      <alignment/>
      <protection/>
    </xf>
    <xf numFmtId="43" fontId="0" fillId="0" borderId="11" xfId="47" applyFont="1" applyBorder="1" applyAlignment="1">
      <alignment/>
    </xf>
    <xf numFmtId="0" fontId="1" fillId="0" borderId="14" xfId="55" applyFont="1" applyBorder="1">
      <alignment/>
      <protection/>
    </xf>
    <xf numFmtId="43" fontId="1" fillId="0" borderId="11" xfId="47" applyFont="1" applyBorder="1" applyAlignment="1">
      <alignment/>
    </xf>
    <xf numFmtId="171" fontId="0" fillId="35" borderId="10" xfId="45" applyNumberFormat="1" applyFont="1" applyFill="1" applyBorder="1" applyAlignment="1">
      <alignment/>
    </xf>
    <xf numFmtId="171" fontId="0" fillId="0" borderId="12" xfId="45" applyNumberFormat="1" applyFont="1" applyFill="1" applyBorder="1" applyAlignment="1">
      <alignment/>
    </xf>
    <xf numFmtId="171" fontId="1" fillId="0" borderId="12" xfId="45" applyNumberFormat="1" applyFont="1" applyFill="1" applyBorder="1" applyAlignment="1">
      <alignment/>
    </xf>
    <xf numFmtId="171" fontId="0" fillId="0" borderId="12" xfId="45" applyNumberFormat="1" applyFont="1" applyBorder="1" applyAlignment="1">
      <alignment/>
    </xf>
    <xf numFmtId="171" fontId="0" fillId="0" borderId="12" xfId="45" applyNumberFormat="1" applyFont="1" applyFill="1" applyBorder="1" applyAlignment="1">
      <alignment/>
    </xf>
    <xf numFmtId="171" fontId="1" fillId="0" borderId="10" xfId="45" applyNumberFormat="1" applyFont="1" applyBorder="1" applyAlignment="1">
      <alignment/>
    </xf>
    <xf numFmtId="171" fontId="0" fillId="39" borderId="10" xfId="45" applyNumberFormat="1" applyFont="1" applyFill="1" applyBorder="1" applyAlignment="1">
      <alignment/>
    </xf>
    <xf numFmtId="171" fontId="0" fillId="0" borderId="50" xfId="45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12" xfId="45" applyNumberFormat="1" applyFont="1" applyBorder="1" applyAlignment="1">
      <alignment/>
    </xf>
    <xf numFmtId="171" fontId="0" fillId="34" borderId="1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171" fontId="0" fillId="0" borderId="0" xfId="45" applyNumberFormat="1" applyFont="1" applyAlignment="1">
      <alignment/>
    </xf>
    <xf numFmtId="171" fontId="0" fillId="0" borderId="10" xfId="45" applyNumberFormat="1" applyFont="1" applyBorder="1" applyAlignment="1">
      <alignment horizontal="center" vertical="center" wrapText="1"/>
    </xf>
    <xf numFmtId="171" fontId="1" fillId="0" borderId="15" xfId="45" applyNumberFormat="1" applyFont="1" applyBorder="1" applyAlignment="1">
      <alignment horizontal="center"/>
    </xf>
    <xf numFmtId="171" fontId="0" fillId="39" borderId="14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45" applyNumberFormat="1" applyFont="1" applyBorder="1" applyAlignment="1">
      <alignment horizontal="center" vertical="center" wrapText="1"/>
    </xf>
    <xf numFmtId="171" fontId="0" fillId="34" borderId="10" xfId="45" applyNumberFormat="1" applyFont="1" applyFill="1" applyBorder="1" applyAlignment="1">
      <alignment/>
    </xf>
    <xf numFmtId="171" fontId="0" fillId="0" borderId="12" xfId="45" applyNumberFormat="1" applyFont="1" applyBorder="1" applyAlignment="1">
      <alignment/>
    </xf>
    <xf numFmtId="171" fontId="0" fillId="34" borderId="10" xfId="45" applyNumberFormat="1" applyFont="1" applyFill="1" applyBorder="1" applyAlignment="1">
      <alignment/>
    </xf>
    <xf numFmtId="171" fontId="0" fillId="0" borderId="10" xfId="45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1" fontId="0" fillId="0" borderId="12" xfId="45" applyNumberFormat="1" applyFon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39" borderId="14" xfId="0" applyNumberFormat="1" applyFont="1" applyFill="1" applyBorder="1" applyAlignment="1">
      <alignment/>
    </xf>
    <xf numFmtId="171" fontId="0" fillId="39" borderId="10" xfId="0" applyNumberFormat="1" applyFont="1" applyFill="1" applyBorder="1" applyAlignment="1">
      <alignment/>
    </xf>
    <xf numFmtId="171" fontId="0" fillId="0" borderId="0" xfId="45" applyNumberFormat="1" applyFont="1" applyAlignment="1">
      <alignment/>
    </xf>
    <xf numFmtId="9" fontId="0" fillId="0" borderId="0" xfId="59" applyFont="1" applyBorder="1" applyAlignment="1">
      <alignment/>
    </xf>
    <xf numFmtId="0" fontId="12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37" borderId="0" xfId="53" applyFont="1" applyFill="1" applyAlignment="1">
      <alignment horizontal="center" vertical="center" wrapText="1"/>
      <protection/>
    </xf>
    <xf numFmtId="3" fontId="15" fillId="0" borderId="10" xfId="53" applyNumberFormat="1" applyFont="1" applyBorder="1" applyAlignment="1">
      <alignment horizontal="center"/>
      <protection/>
    </xf>
    <xf numFmtId="184" fontId="16" fillId="0" borderId="0" xfId="56" applyNumberFormat="1" applyFont="1" applyAlignment="1">
      <alignment horizontal="center" vertical="top" wrapText="1"/>
      <protection/>
    </xf>
    <xf numFmtId="3" fontId="13" fillId="0" borderId="0" xfId="53" applyNumberFormat="1" applyFont="1">
      <alignment/>
      <protection/>
    </xf>
    <xf numFmtId="3" fontId="12" fillId="0" borderId="35" xfId="48" applyNumberFormat="1" applyFont="1" applyFill="1" applyBorder="1" applyAlignment="1">
      <alignment horizontal="right"/>
    </xf>
    <xf numFmtId="3" fontId="29" fillId="0" borderId="0" xfId="53" applyNumberFormat="1" applyFont="1">
      <alignment/>
      <protection/>
    </xf>
    <xf numFmtId="171" fontId="13" fillId="0" borderId="35" xfId="48" applyNumberFormat="1" applyFont="1" applyFill="1" applyBorder="1" applyAlignment="1">
      <alignment horizontal="right"/>
    </xf>
    <xf numFmtId="0" fontId="12" fillId="0" borderId="0" xfId="53" applyFont="1">
      <alignment/>
      <protection/>
    </xf>
    <xf numFmtId="43" fontId="12" fillId="0" borderId="12" xfId="51" applyFont="1" applyFill="1" applyBorder="1" applyAlignment="1">
      <alignment horizontal="right"/>
    </xf>
    <xf numFmtId="3" fontId="12" fillId="0" borderId="0" xfId="53" applyNumberFormat="1" applyFont="1">
      <alignment/>
      <protection/>
    </xf>
    <xf numFmtId="43" fontId="3" fillId="0" borderId="0" xfId="51" applyFont="1" applyAlignment="1">
      <alignment/>
    </xf>
    <xf numFmtId="0" fontId="19" fillId="0" borderId="12" xfId="53" applyFont="1" applyBorder="1">
      <alignment/>
      <protection/>
    </xf>
    <xf numFmtId="171" fontId="12" fillId="0" borderId="12" xfId="53" applyNumberFormat="1" applyFont="1" applyBorder="1" applyAlignment="1">
      <alignment horizontal="right"/>
      <protection/>
    </xf>
    <xf numFmtId="171" fontId="12" fillId="0" borderId="16" xfId="53" applyNumberFormat="1" applyFont="1" applyBorder="1" applyAlignment="1">
      <alignment horizontal="right"/>
      <protection/>
    </xf>
    <xf numFmtId="0" fontId="1" fillId="37" borderId="0" xfId="53" applyFont="1" applyFill="1">
      <alignment/>
      <protection/>
    </xf>
    <xf numFmtId="0" fontId="0" fillId="37" borderId="0" xfId="53" applyFont="1" applyFill="1">
      <alignment/>
      <protection/>
    </xf>
    <xf numFmtId="43" fontId="0" fillId="0" borderId="0" xfId="51" applyFont="1" applyAlignment="1">
      <alignment/>
    </xf>
    <xf numFmtId="3" fontId="12" fillId="38" borderId="16" xfId="48" applyNumberFormat="1" applyFont="1" applyFill="1" applyBorder="1" applyAlignment="1">
      <alignment horizontal="right"/>
    </xf>
    <xf numFmtId="3" fontId="12" fillId="38" borderId="35" xfId="53" applyNumberFormat="1" applyFont="1" applyFill="1" applyBorder="1">
      <alignment/>
      <protection/>
    </xf>
    <xf numFmtId="4" fontId="29" fillId="0" borderId="0" xfId="53" applyNumberFormat="1" applyFont="1">
      <alignment/>
      <protection/>
    </xf>
    <xf numFmtId="184" fontId="0" fillId="0" borderId="16" xfId="53" applyNumberFormat="1" applyFont="1" applyBorder="1" applyAlignment="1">
      <alignment horizontal="right"/>
      <protection/>
    </xf>
    <xf numFmtId="171" fontId="13" fillId="0" borderId="35" xfId="48" applyNumberFormat="1" applyFont="1" applyFill="1" applyBorder="1" applyAlignment="1">
      <alignment/>
    </xf>
    <xf numFmtId="38" fontId="13" fillId="0" borderId="35" xfId="48" applyNumberFormat="1" applyFont="1" applyFill="1" applyBorder="1" applyAlignment="1">
      <alignment horizontal="right"/>
    </xf>
    <xf numFmtId="0" fontId="20" fillId="37" borderId="0" xfId="53" applyFont="1" applyFill="1">
      <alignment/>
      <protection/>
    </xf>
    <xf numFmtId="0" fontId="20" fillId="0" borderId="0" xfId="53" applyFont="1" applyAlignment="1">
      <alignment horizontal="left" vertical="justify" wrapText="1"/>
      <protection/>
    </xf>
    <xf numFmtId="0" fontId="21" fillId="37" borderId="0" xfId="53" applyFont="1" applyFill="1">
      <alignment/>
      <protection/>
    </xf>
    <xf numFmtId="0" fontId="21" fillId="37" borderId="0" xfId="53" applyFont="1" applyFill="1" quotePrefix="1">
      <alignment/>
      <protection/>
    </xf>
    <xf numFmtId="0" fontId="20" fillId="37" borderId="0" xfId="53" applyFont="1" applyFill="1" quotePrefix="1">
      <alignment/>
      <protection/>
    </xf>
    <xf numFmtId="43" fontId="13" fillId="0" borderId="0" xfId="51" applyFont="1" applyFill="1" applyBorder="1" applyAlignment="1">
      <alignment horizontal="right" vertical="center" wrapText="1"/>
    </xf>
    <xf numFmtId="184" fontId="20" fillId="0" borderId="0" xfId="53" applyNumberFormat="1" applyFont="1" applyAlignment="1">
      <alignment horizontal="right"/>
      <protection/>
    </xf>
    <xf numFmtId="0" fontId="20" fillId="0" borderId="0" xfId="53" applyFont="1">
      <alignment/>
      <protection/>
    </xf>
    <xf numFmtId="0" fontId="20" fillId="0" borderId="25" xfId="53" applyFont="1" applyBorder="1">
      <alignment/>
      <protection/>
    </xf>
    <xf numFmtId="0" fontId="20" fillId="0" borderId="26" xfId="53" applyFont="1" applyBorder="1">
      <alignment/>
      <protection/>
    </xf>
    <xf numFmtId="0" fontId="20" fillId="0" borderId="23" xfId="53" applyFont="1" applyBorder="1">
      <alignment/>
      <protection/>
    </xf>
    <xf numFmtId="171" fontId="0" fillId="0" borderId="52" xfId="51" applyNumberFormat="1" applyFont="1" applyBorder="1" applyAlignment="1">
      <alignment/>
    </xf>
    <xf numFmtId="43" fontId="0" fillId="0" borderId="0" xfId="51" applyFont="1" applyFill="1" applyAlignment="1">
      <alignment horizontal="right"/>
    </xf>
    <xf numFmtId="43" fontId="0" fillId="0" borderId="10" xfId="51" applyFont="1" applyFill="1" applyBorder="1" applyAlignment="1">
      <alignment horizontal="right"/>
    </xf>
    <xf numFmtId="43" fontId="74" fillId="0" borderId="10" xfId="51" applyFont="1" applyFill="1" applyBorder="1" applyAlignment="1">
      <alignment horizontal="right"/>
    </xf>
    <xf numFmtId="0" fontId="20" fillId="0" borderId="10" xfId="53" applyFont="1" applyBorder="1">
      <alignment/>
      <protection/>
    </xf>
    <xf numFmtId="0" fontId="1" fillId="0" borderId="0" xfId="53" applyFont="1">
      <alignment/>
      <protection/>
    </xf>
    <xf numFmtId="3" fontId="0" fillId="0" borderId="10" xfId="0" applyNumberFormat="1" applyBorder="1" applyAlignment="1">
      <alignment/>
    </xf>
    <xf numFmtId="43" fontId="0" fillId="0" borderId="26" xfId="45" applyFont="1" applyBorder="1" applyAlignment="1">
      <alignment/>
    </xf>
    <xf numFmtId="0" fontId="1" fillId="4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4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43" borderId="0" xfId="0" applyFont="1" applyFill="1" applyBorder="1" applyAlignment="1">
      <alignment/>
    </xf>
    <xf numFmtId="43" fontId="78" fillId="38" borderId="0" xfId="45" applyFont="1" applyFill="1" applyBorder="1" applyAlignment="1">
      <alignment/>
    </xf>
    <xf numFmtId="43" fontId="53" fillId="0" borderId="0" xfId="50" applyFont="1" applyAlignment="1">
      <alignment/>
    </xf>
    <xf numFmtId="0" fontId="53" fillId="0" borderId="0" xfId="54">
      <alignment/>
      <protection/>
    </xf>
    <xf numFmtId="0" fontId="53" fillId="0" borderId="10" xfId="54" applyBorder="1">
      <alignment/>
      <protection/>
    </xf>
    <xf numFmtId="0" fontId="1" fillId="0" borderId="10" xfId="54" applyFont="1" applyBorder="1">
      <alignment/>
      <protection/>
    </xf>
    <xf numFmtId="4" fontId="53" fillId="0" borderId="10" xfId="54" applyNumberFormat="1" applyBorder="1">
      <alignment/>
      <protection/>
    </xf>
    <xf numFmtId="4" fontId="1" fillId="0" borderId="10" xfId="54" applyNumberFormat="1" applyFont="1" applyBorder="1">
      <alignment/>
      <protection/>
    </xf>
    <xf numFmtId="0" fontId="1" fillId="0" borderId="12" xfId="54" applyFont="1" applyBorder="1">
      <alignment/>
      <protection/>
    </xf>
    <xf numFmtId="171" fontId="0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171" fontId="1" fillId="0" borderId="10" xfId="45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center" vertical="center" wrapText="1"/>
    </xf>
    <xf numFmtId="171" fontId="1" fillId="0" borderId="15" xfId="0" applyNumberFormat="1" applyFont="1" applyFill="1" applyBorder="1" applyAlignment="1">
      <alignment horizontal="center"/>
    </xf>
    <xf numFmtId="3" fontId="74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36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9" xfId="53" applyFont="1" applyBorder="1" applyAlignment="1">
      <alignment horizontal="center" wrapText="1"/>
      <protection/>
    </xf>
    <xf numFmtId="0" fontId="12" fillId="0" borderId="27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4" fillId="0" borderId="37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64" xfId="53" applyFont="1" applyBorder="1" applyAlignment="1">
      <alignment horizontal="center" vertical="center" wrapText="1"/>
      <protection/>
    </xf>
    <xf numFmtId="0" fontId="14" fillId="0" borderId="65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14" fillId="0" borderId="66" xfId="53" applyFont="1" applyBorder="1" applyAlignment="1">
      <alignment horizontal="center" vertical="center" wrapText="1"/>
      <protection/>
    </xf>
    <xf numFmtId="0" fontId="14" fillId="37" borderId="21" xfId="53" applyFont="1" applyFill="1" applyBorder="1" applyAlignment="1">
      <alignment horizontal="center" vertical="center" wrapText="1"/>
      <protection/>
    </xf>
    <xf numFmtId="0" fontId="14" fillId="37" borderId="0" xfId="53" applyFont="1" applyFill="1" applyAlignment="1">
      <alignment horizontal="center" vertical="center" wrapText="1"/>
      <protection/>
    </xf>
    <xf numFmtId="0" fontId="14" fillId="37" borderId="22" xfId="53" applyFont="1" applyFill="1" applyBorder="1" applyAlignment="1">
      <alignment horizontal="center" vertical="center" wrapText="1"/>
      <protection/>
    </xf>
    <xf numFmtId="0" fontId="13" fillId="0" borderId="12" xfId="53" applyFont="1" applyBorder="1" applyAlignment="1">
      <alignment wrapText="1"/>
      <protection/>
    </xf>
    <xf numFmtId="0" fontId="13" fillId="0" borderId="12" xfId="53" applyFont="1" applyBorder="1" applyAlignment="1">
      <alignment vertical="center" wrapText="1"/>
      <protection/>
    </xf>
    <xf numFmtId="0" fontId="12" fillId="0" borderId="12" xfId="53" applyFont="1" applyBorder="1" applyAlignment="1">
      <alignment vertical="center" wrapText="1"/>
      <protection/>
    </xf>
    <xf numFmtId="0" fontId="13" fillId="37" borderId="12" xfId="53" applyFont="1" applyFill="1" applyBorder="1" applyAlignment="1">
      <alignment horizontal="left" vertical="justify" wrapText="1"/>
      <protection/>
    </xf>
    <xf numFmtId="0" fontId="12" fillId="0" borderId="12" xfId="53" applyFont="1" applyBorder="1" applyAlignment="1">
      <alignment horizontal="left" vertical="justify" wrapText="1"/>
      <protection/>
    </xf>
    <xf numFmtId="0" fontId="12" fillId="0" borderId="67" xfId="53" applyFont="1" applyBorder="1" applyAlignment="1">
      <alignment horizontal="left" vertical="justify" wrapText="1"/>
      <protection/>
    </xf>
    <xf numFmtId="186" fontId="13" fillId="0" borderId="12" xfId="48" applyNumberFormat="1" applyFont="1" applyFill="1" applyBorder="1" applyAlignment="1">
      <alignment horizontal="right" vertical="center" wrapText="1"/>
    </xf>
    <xf numFmtId="186" fontId="12" fillId="0" borderId="67" xfId="48" applyNumberFormat="1" applyFont="1" applyFill="1" applyBorder="1" applyAlignment="1">
      <alignment horizontal="right" vertical="center" wrapText="1"/>
    </xf>
    <xf numFmtId="186" fontId="13" fillId="0" borderId="35" xfId="48" applyNumberFormat="1" applyFont="1" applyFill="1" applyBorder="1" applyAlignment="1">
      <alignment horizontal="right" vertical="center" wrapText="1"/>
    </xf>
    <xf numFmtId="186" fontId="12" fillId="0" borderId="36" xfId="48" applyNumberFormat="1" applyFont="1" applyFill="1" applyBorder="1" applyAlignment="1">
      <alignment horizontal="right" vertical="center" wrapText="1"/>
    </xf>
    <xf numFmtId="0" fontId="20" fillId="0" borderId="0" xfId="53" applyFont="1">
      <alignment/>
      <protection/>
    </xf>
    <xf numFmtId="0" fontId="20" fillId="0" borderId="19" xfId="53" applyFont="1" applyBorder="1" applyAlignment="1">
      <alignment wrapText="1"/>
      <protection/>
    </xf>
    <xf numFmtId="0" fontId="20" fillId="0" borderId="27" xfId="53" applyFont="1" applyBorder="1" applyAlignment="1">
      <alignment wrapText="1"/>
      <protection/>
    </xf>
    <xf numFmtId="0" fontId="20" fillId="0" borderId="20" xfId="53" applyFont="1" applyBorder="1" applyAlignment="1">
      <alignment wrapText="1"/>
      <protection/>
    </xf>
    <xf numFmtId="0" fontId="21" fillId="0" borderId="25" xfId="53" applyFont="1" applyBorder="1">
      <alignment/>
      <protection/>
    </xf>
    <xf numFmtId="0" fontId="21" fillId="0" borderId="26" xfId="53" applyFont="1" applyBorder="1">
      <alignment/>
      <protection/>
    </xf>
    <xf numFmtId="0" fontId="21" fillId="0" borderId="23" xfId="53" applyFont="1" applyBorder="1">
      <alignment/>
      <protection/>
    </xf>
    <xf numFmtId="0" fontId="20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0" fillId="0" borderId="19" xfId="53" applyFont="1" applyFill="1" applyBorder="1" applyAlignment="1">
      <alignment wrapText="1"/>
      <protection/>
    </xf>
    <xf numFmtId="0" fontId="20" fillId="0" borderId="27" xfId="53" applyFont="1" applyFill="1" applyBorder="1" applyAlignment="1">
      <alignment wrapText="1"/>
      <protection/>
    </xf>
    <xf numFmtId="0" fontId="20" fillId="0" borderId="20" xfId="53" applyFont="1" applyFill="1" applyBorder="1" applyAlignment="1">
      <alignment wrapText="1"/>
      <protection/>
    </xf>
    <xf numFmtId="0" fontId="21" fillId="0" borderId="25" xfId="53" applyFont="1" applyBorder="1" applyAlignment="1">
      <alignment/>
      <protection/>
    </xf>
    <xf numFmtId="0" fontId="21" fillId="0" borderId="26" xfId="53" applyFont="1" applyBorder="1" applyAlignment="1">
      <alignment/>
      <protection/>
    </xf>
    <xf numFmtId="0" fontId="21" fillId="0" borderId="23" xfId="53" applyFont="1" applyBorder="1" applyAlignment="1">
      <alignment/>
      <protection/>
    </xf>
    <xf numFmtId="186" fontId="13" fillId="0" borderId="27" xfId="48" applyNumberFormat="1" applyFont="1" applyFill="1" applyBorder="1" applyAlignment="1">
      <alignment horizontal="right" vertical="center" wrapText="1"/>
    </xf>
    <xf numFmtId="186" fontId="12" fillId="0" borderId="0" xfId="48" applyNumberFormat="1" applyFont="1" applyFill="1" applyBorder="1" applyAlignment="1">
      <alignment horizontal="right" vertical="center" wrapText="1"/>
    </xf>
    <xf numFmtId="186" fontId="13" fillId="0" borderId="0" xfId="48" applyNumberFormat="1" applyFont="1" applyFill="1" applyBorder="1" applyAlignment="1">
      <alignment horizontal="right" vertical="center" wrapText="1"/>
    </xf>
    <xf numFmtId="0" fontId="20" fillId="0" borderId="0" xfId="53" applyFont="1" applyBorder="1" applyAlignment="1">
      <alignment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4" fillId="0" borderId="37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64" xfId="53" applyFont="1" applyFill="1" applyBorder="1" applyAlignment="1">
      <alignment horizontal="center" vertical="center" wrapText="1"/>
      <protection/>
    </xf>
    <xf numFmtId="0" fontId="14" fillId="0" borderId="65" xfId="53" applyFont="1" applyFill="1" applyBorder="1" applyAlignment="1">
      <alignment horizontal="center" vertical="center" wrapText="1"/>
      <protection/>
    </xf>
    <xf numFmtId="0" fontId="14" fillId="0" borderId="30" xfId="53" applyFont="1" applyFill="1" applyBorder="1" applyAlignment="1">
      <alignment horizontal="center" vertical="center" wrapText="1"/>
      <protection/>
    </xf>
    <xf numFmtId="0" fontId="14" fillId="0" borderId="66" xfId="53" applyFont="1" applyFill="1" applyBorder="1" applyAlignment="1">
      <alignment horizontal="center" vertical="center" wrapText="1"/>
      <protection/>
    </xf>
    <xf numFmtId="0" fontId="14" fillId="37" borderId="0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3" fontId="6" fillId="0" borderId="16" xfId="47" applyFont="1" applyBorder="1" applyAlignment="1">
      <alignment horizontal="left" wrapText="1"/>
    </xf>
    <xf numFmtId="43" fontId="6" fillId="0" borderId="0" xfId="47" applyFont="1" applyBorder="1" applyAlignment="1">
      <alignment horizontal="left" wrapText="1"/>
    </xf>
    <xf numFmtId="0" fontId="21" fillId="0" borderId="0" xfId="55" applyFont="1" applyAlignment="1">
      <alignment/>
      <protection/>
    </xf>
    <xf numFmtId="0" fontId="20" fillId="0" borderId="0" xfId="55" applyFont="1" applyAlignment="1">
      <alignment/>
      <protection/>
    </xf>
    <xf numFmtId="0" fontId="1" fillId="35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71" fontId="1" fillId="33" borderId="10" xfId="0" applyNumberFormat="1" applyFont="1" applyFill="1" applyBorder="1" applyAlignment="1">
      <alignment horizontal="center"/>
    </xf>
    <xf numFmtId="171" fontId="1" fillId="33" borderId="14" xfId="0" applyNumberFormat="1" applyFont="1" applyFill="1" applyBorder="1" applyAlignment="1">
      <alignment horizontal="center"/>
    </xf>
    <xf numFmtId="171" fontId="1" fillId="33" borderId="17" xfId="0" applyNumberFormat="1" applyFont="1" applyFill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Migliaia 6" xfId="51"/>
    <cellStyle name="Neutrale" xfId="52"/>
    <cellStyle name="Normal 2" xfId="53"/>
    <cellStyle name="Normale 2" xfId="54"/>
    <cellStyle name="Normale 3" xfId="55"/>
    <cellStyle name="Normale_2007 preventivo globale finanziario orizz." xfId="56"/>
    <cellStyle name="Nota" xfId="57"/>
    <cellStyle name="Output" xfId="58"/>
    <cellStyle name="Percent" xfId="59"/>
    <cellStyle name="Percentuale 2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4\PREVENTIVO%20PER%20CASSA\REDAZIONE%20FINALE%20PREV.%20PER%20CASSA\schema%20francesco%20per%20riclassificazione%20busdget%20plurienn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17\Preventivo\CASSA\PROSPETTO%20ENTRATE%20E%20USCITE%20201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20\Assestamento\Riepilogo%20progetti%20preventivo%20cassa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18\ASSESTAMENTO\ASSESTAMENTO%20Preventivo%20economico%202018%20-%20CORRETTO%20COLLEGAMEN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19\PREVENTIVO\Preventivo%20economico\Preventivo%20economico%202019%20-2020-2021%20-%20CORRETTO%20CON%20BD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18\ASSESTAMENTO\B2.1.2%20C.STUDI%20PER%20ASSESTAMENTO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20\Assestamento\Riepilogo%20progetti%20preventivo%20di%20cassa%2020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20\Assestamento\Preventivo%20economico%202020-2021-202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Bilancio\2020\Assestamento\BUDGET%20PLURIENNALE%202020-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4\PREVENTIVO%20PER%20CASSA\REDAZIONE%20FINALE%20PREV.%20PER%20CASSA\RIEPILOGO%20IN%20UTILIZZO%20progetti%20totali%20per%20cass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4\bilancio%20preventivo%20schema%20TIP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7\Preventivo%202017\CASSA\Riepilogo%20progetti%20-%20CONTROLL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7\Preventivo%202017\CASSA\PERSONALE%20%20per%20SCHEMA%20CASSA%20per%20%20Amministrazio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7\Preventivo%202017\CASSA\Riepilogo%20progetti%202017%20cass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7\Preventivo%202017\CASSA\Mediare.Venet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&#224;\Roberta\BILANCIO\Bilancio%202017\Preventivo%202017\CASSA\digitare%20ven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2017"/>
    </sheetNames>
    <sheetDataSet>
      <sheetData sheetId="0">
        <row r="119">
          <cell r="I119">
            <v>-1772661.818034999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3"/>
      <sheetName val="Foglio2"/>
    </sheetNames>
    <sheetDataSet>
      <sheetData sheetId="0">
        <row r="443">
          <cell r="C443">
            <v>4603206.82</v>
          </cell>
        </row>
        <row r="446">
          <cell r="D446">
            <v>64958</v>
          </cell>
          <cell r="E446">
            <v>963254</v>
          </cell>
          <cell r="H446">
            <v>178500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 2018"/>
      <sheetName val="torte"/>
      <sheetName val="Quote contributive"/>
      <sheetName val="Progetti 2018-2020"/>
      <sheetName val="Progetti 2014"/>
      <sheetName val="A1-2,8%"/>
      <sheetName val="Foglio2"/>
      <sheetName val="a1.A"/>
      <sheetName val="ELENCO F.P. 2015"/>
      <sheetName val="ELENCO F.P. 2014"/>
      <sheetName val="A2"/>
      <sheetName val="ELENCO PROGETTI"/>
      <sheetName val="A3"/>
      <sheetName val="A4"/>
      <sheetName val="A5"/>
      <sheetName val="A6"/>
      <sheetName val="B1.1"/>
      <sheetName val="Bilancio triennale per Ammm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2">
        <row r="19">
          <cell r="B19">
            <v>1390442</v>
          </cell>
        </row>
      </sheetData>
      <sheetData sheetId="3">
        <row r="26">
          <cell r="M26">
            <v>400000</v>
          </cell>
        </row>
        <row r="27">
          <cell r="M27">
            <v>300000</v>
          </cell>
        </row>
        <row r="48">
          <cell r="M48">
            <v>1881199</v>
          </cell>
        </row>
        <row r="50">
          <cell r="M50">
            <v>200000</v>
          </cell>
        </row>
      </sheetData>
      <sheetData sheetId="16">
        <row r="15">
          <cell r="E15">
            <v>32600</v>
          </cell>
        </row>
      </sheetData>
      <sheetData sheetId="19">
        <row r="32">
          <cell r="E32">
            <v>51000</v>
          </cell>
        </row>
      </sheetData>
      <sheetData sheetId="20">
        <row r="15">
          <cell r="D15">
            <v>63685</v>
          </cell>
        </row>
      </sheetData>
      <sheetData sheetId="21">
        <row r="22">
          <cell r="E22">
            <v>75000</v>
          </cell>
        </row>
        <row r="23">
          <cell r="E23">
            <v>6000</v>
          </cell>
        </row>
        <row r="25">
          <cell r="E25">
            <v>303194.07039999997</v>
          </cell>
        </row>
      </sheetData>
      <sheetData sheetId="24">
        <row r="65">
          <cell r="E65">
            <v>44980</v>
          </cell>
        </row>
      </sheetData>
      <sheetData sheetId="26">
        <row r="14">
          <cell r="C14">
            <v>51226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 2019"/>
      <sheetName val="Annuale 2019"/>
      <sheetName val="Pluriennale"/>
      <sheetName val="ribaltamento prev. 2019"/>
      <sheetName val="ribaltamento prev. 2020"/>
      <sheetName val="ribaltamento prev. 2021 (2)"/>
      <sheetName val="controlloProgetti 2018-2020 (2)"/>
      <sheetName val="Preventivo 2018"/>
      <sheetName val="torte"/>
      <sheetName val="Quote contributive"/>
      <sheetName val="Progetti 2019-2021"/>
      <sheetName val="Progetti 2018-2020"/>
      <sheetName val="Progetti 2014"/>
      <sheetName val="A1-2,8%"/>
      <sheetName val="ELENCO F.P. 2015"/>
      <sheetName val="ELENCO F.P. 2014"/>
      <sheetName val="A2"/>
      <sheetName val="ELENCO PROGETTI"/>
      <sheetName val="A3"/>
      <sheetName val="A4"/>
      <sheetName val="A5"/>
      <sheetName val="A6"/>
      <sheetName val="B1.1"/>
      <sheetName val="Personale 2019-2021"/>
      <sheetName val="Personale 2018-2020"/>
      <sheetName val="Foglio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10">
        <row r="40">
          <cell r="E40">
            <v>2543387.261059977</v>
          </cell>
        </row>
      </sheetData>
      <sheetData sheetId="19">
        <row r="13">
          <cell r="F13">
            <v>14272</v>
          </cell>
        </row>
      </sheetData>
      <sheetData sheetId="20">
        <row r="14">
          <cell r="F14">
            <v>97544</v>
          </cell>
        </row>
      </sheetData>
      <sheetData sheetId="22">
        <row r="15">
          <cell r="D15">
            <v>59600</v>
          </cell>
        </row>
      </sheetData>
      <sheetData sheetId="23">
        <row r="14">
          <cell r="B14">
            <v>1497766.4415152734</v>
          </cell>
          <cell r="C14">
            <v>1495215.3325059973</v>
          </cell>
          <cell r="D14">
            <v>1538921.3218873232</v>
          </cell>
        </row>
      </sheetData>
      <sheetData sheetId="27">
        <row r="32">
          <cell r="F32">
            <v>64000</v>
          </cell>
        </row>
      </sheetData>
      <sheetData sheetId="28">
        <row r="13">
          <cell r="F13">
            <v>84068.3</v>
          </cell>
        </row>
      </sheetData>
      <sheetData sheetId="29">
        <row r="22">
          <cell r="G22">
            <v>70000</v>
          </cell>
        </row>
        <row r="23">
          <cell r="G23">
            <v>23947.98574821853</v>
          </cell>
        </row>
        <row r="24">
          <cell r="G24">
            <v>47275</v>
          </cell>
        </row>
        <row r="26">
          <cell r="F26">
            <v>389699.88836104516</v>
          </cell>
        </row>
      </sheetData>
      <sheetData sheetId="32">
        <row r="46">
          <cell r="G46">
            <v>54580</v>
          </cell>
        </row>
      </sheetData>
      <sheetData sheetId="33">
        <row r="38">
          <cell r="E38">
            <v>65000</v>
          </cell>
        </row>
      </sheetData>
      <sheetData sheetId="34">
        <row r="10">
          <cell r="C10">
            <v>32451.96</v>
          </cell>
        </row>
        <row r="12">
          <cell r="C12">
            <v>24500</v>
          </cell>
        </row>
      </sheetData>
      <sheetData sheetId="38">
        <row r="9">
          <cell r="D9">
            <v>210500</v>
          </cell>
        </row>
      </sheetData>
      <sheetData sheetId="39">
        <row r="9">
          <cell r="D9">
            <v>1677541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2.1.2 (2)"/>
    </sheetNames>
    <sheetDataSet>
      <sheetData sheetId="0">
        <row r="38">
          <cell r="E38">
            <v>66000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GETTI"/>
      <sheetName val="TRASFERIMENTI PARTNERS"/>
      <sheetName val="Foglio2"/>
    </sheetNames>
    <sheetDataSet>
      <sheetData sheetId="0">
        <row r="135">
          <cell r="C135">
            <v>637939</v>
          </cell>
          <cell r="I135">
            <v>386641.99</v>
          </cell>
        </row>
        <row r="194">
          <cell r="C194">
            <v>500495</v>
          </cell>
        </row>
        <row r="198">
          <cell r="C198">
            <v>1484950.37</v>
          </cell>
        </row>
        <row r="199">
          <cell r="C199">
            <v>136457.15</v>
          </cell>
        </row>
        <row r="200">
          <cell r="C200">
            <v>840536.338</v>
          </cell>
        </row>
        <row r="204">
          <cell r="C204">
            <v>90000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53226.91</v>
          </cell>
        </row>
        <row r="211">
          <cell r="C211">
            <v>3105665.768</v>
          </cell>
        </row>
        <row r="215">
          <cell r="D215">
            <v>107536.585</v>
          </cell>
          <cell r="E215">
            <v>377531.795</v>
          </cell>
          <cell r="F215">
            <v>90000</v>
          </cell>
          <cell r="H215">
            <v>0</v>
          </cell>
        </row>
        <row r="216">
          <cell r="D216">
            <v>11769.415</v>
          </cell>
          <cell r="E216">
            <v>217278.745</v>
          </cell>
        </row>
        <row r="217">
          <cell r="J217">
            <v>2646620.7430000002</v>
          </cell>
        </row>
        <row r="218">
          <cell r="D218">
            <v>125600.66</v>
          </cell>
          <cell r="E218">
            <v>167430.38000000006</v>
          </cell>
          <cell r="F218">
            <v>0</v>
          </cell>
          <cell r="H218">
            <v>1500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 2020"/>
      <sheetName val="Preventivo 2019"/>
      <sheetName val="Annuale 2019"/>
      <sheetName val="Pluriennale"/>
      <sheetName val="ribaltamento prev. 2019"/>
      <sheetName val="ribaltamento prev. 2020"/>
      <sheetName val="ribaltamento prev. 2021 (2)"/>
      <sheetName val="Foglio2"/>
      <sheetName val="controlloProgetti 2018-2020 (2)"/>
      <sheetName val="Preventivo 2018"/>
      <sheetName val="torte"/>
      <sheetName val="Quote contributive"/>
      <sheetName val="PERC. BUDGET Progetti 2020-22"/>
      <sheetName val="Progetti 2014"/>
      <sheetName val="ELENCO F.P. 2015"/>
      <sheetName val="ELENCO F.P. 2014"/>
      <sheetName val="Progetti 2018-2020"/>
      <sheetName val="Foglio3"/>
      <sheetName val="A1-2,8%"/>
      <sheetName val="A2"/>
      <sheetName val="ELENCO PROGETTI"/>
      <sheetName val="A3 - Progetti 2020-2022"/>
      <sheetName val="A4"/>
      <sheetName val="A5"/>
      <sheetName val="A6"/>
      <sheetName val="B1.1"/>
      <sheetName val="Personale 2019-2021"/>
      <sheetName val="Personale 2018-2020"/>
      <sheetName val="Foglio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0">
        <row r="30">
          <cell r="H30">
            <v>1495215</v>
          </cell>
        </row>
      </sheetData>
      <sheetData sheetId="12">
        <row r="40">
          <cell r="E40">
            <v>2331384</v>
          </cell>
        </row>
      </sheetData>
      <sheetData sheetId="18">
        <row r="8">
          <cell r="E8">
            <v>1360442</v>
          </cell>
          <cell r="F8">
            <v>1360442</v>
          </cell>
        </row>
      </sheetData>
      <sheetData sheetId="19">
        <row r="18">
          <cell r="E18">
            <v>595000</v>
          </cell>
          <cell r="F18">
            <v>320000</v>
          </cell>
        </row>
      </sheetData>
      <sheetData sheetId="21">
        <row r="39">
          <cell r="E39">
            <v>2331383.99</v>
          </cell>
          <cell r="G39">
            <v>1482989.4100000001</v>
          </cell>
        </row>
      </sheetData>
      <sheetData sheetId="22">
        <row r="13">
          <cell r="F13">
            <v>10422.216799999998</v>
          </cell>
          <cell r="G13">
            <v>14272</v>
          </cell>
        </row>
      </sheetData>
      <sheetData sheetId="23">
        <row r="13">
          <cell r="F13">
            <v>121740.64</v>
          </cell>
          <cell r="G13">
            <v>118200</v>
          </cell>
        </row>
      </sheetData>
      <sheetData sheetId="24">
        <row r="16">
          <cell r="F16">
            <v>8750</v>
          </cell>
        </row>
      </sheetData>
      <sheetData sheetId="25">
        <row r="15">
          <cell r="E15">
            <v>50000</v>
          </cell>
          <cell r="F15">
            <v>40000</v>
          </cell>
          <cell r="G15">
            <v>20000</v>
          </cell>
          <cell r="H15">
            <v>59600</v>
          </cell>
        </row>
      </sheetData>
      <sheetData sheetId="26">
        <row r="14">
          <cell r="B14">
            <v>1497766.4415152734</v>
          </cell>
        </row>
      </sheetData>
      <sheetData sheetId="30">
        <row r="15">
          <cell r="F15">
            <v>64000</v>
          </cell>
          <cell r="G15">
            <v>64000</v>
          </cell>
          <cell r="H15">
            <v>64000</v>
          </cell>
        </row>
        <row r="32">
          <cell r="I32">
            <v>64000</v>
          </cell>
        </row>
      </sheetData>
      <sheetData sheetId="31">
        <row r="13">
          <cell r="G13">
            <v>88600</v>
          </cell>
        </row>
      </sheetData>
      <sheetData sheetId="32">
        <row r="22">
          <cell r="F22">
            <v>60000</v>
          </cell>
          <cell r="I22">
            <v>70000</v>
          </cell>
        </row>
        <row r="23">
          <cell r="F23">
            <v>20000</v>
          </cell>
          <cell r="I23">
            <v>23947.98574821853</v>
          </cell>
        </row>
        <row r="24">
          <cell r="F24">
            <v>50799.1</v>
          </cell>
          <cell r="G24">
            <v>46181</v>
          </cell>
          <cell r="I24">
            <v>47275</v>
          </cell>
        </row>
        <row r="26">
          <cell r="F26">
            <v>333799.1</v>
          </cell>
          <cell r="G26">
            <v>334181</v>
          </cell>
          <cell r="H26">
            <v>389699.88836104516</v>
          </cell>
        </row>
      </sheetData>
      <sheetData sheetId="35">
        <row r="46">
          <cell r="H46">
            <v>54580</v>
          </cell>
        </row>
      </sheetData>
      <sheetData sheetId="36">
        <row r="38">
          <cell r="E38">
            <v>85000</v>
          </cell>
          <cell r="F38">
            <v>85000</v>
          </cell>
          <cell r="G38">
            <v>85000</v>
          </cell>
          <cell r="H38">
            <v>65000</v>
          </cell>
          <cell r="I38">
            <v>65000</v>
          </cell>
        </row>
      </sheetData>
      <sheetData sheetId="37">
        <row r="10">
          <cell r="G10">
            <v>32451.96</v>
          </cell>
        </row>
        <row r="12">
          <cell r="G12">
            <v>24500</v>
          </cell>
        </row>
        <row r="14">
          <cell r="C14">
            <v>38261.9084</v>
          </cell>
          <cell r="E14">
            <v>38261.9084</v>
          </cell>
          <cell r="F14">
            <v>59451.96</v>
          </cell>
        </row>
      </sheetData>
      <sheetData sheetId="40">
        <row r="10">
          <cell r="D10">
            <v>350000</v>
          </cell>
          <cell r="E10">
            <v>350000</v>
          </cell>
        </row>
      </sheetData>
      <sheetData sheetId="41">
        <row r="9">
          <cell r="H9">
            <v>210500</v>
          </cell>
        </row>
      </sheetData>
      <sheetData sheetId="42">
        <row r="9">
          <cell r="I9">
            <v>1677541</v>
          </cell>
        </row>
      </sheetData>
      <sheetData sheetId="47">
        <row r="14">
          <cell r="F14">
            <v>526.62</v>
          </cell>
        </row>
      </sheetData>
      <sheetData sheetId="48">
        <row r="9">
          <cell r="D9">
            <v>59227.06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 2020"/>
      <sheetName val="budget 20-22"/>
      <sheetName val="ribaltamento prev. 2021"/>
      <sheetName val="ribaltamento prev.2020"/>
      <sheetName val="ribaltamento prev. 2022"/>
      <sheetName val="PERC. BUDGET Progetti 2020- (2)"/>
      <sheetName val="PERC. BUDGET Progetti 2021"/>
      <sheetName val="progetti 2022"/>
      <sheetName val="Foglio2"/>
      <sheetName val="B2.1.1"/>
      <sheetName val="PERC. BUDGET Progetti 2020-22"/>
      <sheetName val="A4"/>
      <sheetName val="A5"/>
      <sheetName val="Foglio1"/>
    </sheetNames>
    <sheetDataSet>
      <sheetData sheetId="13">
        <row r="15">
          <cell r="B15">
            <v>1495215</v>
          </cell>
          <cell r="C15">
            <v>1538921</v>
          </cell>
          <cell r="D15">
            <v>1540000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OLI"/>
      <sheetName val="TOTALI"/>
      <sheetName val="Personale"/>
    </sheetNames>
    <sheetDataSet>
      <sheetData sheetId="1">
        <row r="9">
          <cell r="A9">
            <v>1745837.753947972</v>
          </cell>
        </row>
        <row r="11">
          <cell r="A11">
            <v>1381512.31757625</v>
          </cell>
        </row>
        <row r="12">
          <cell r="A12">
            <v>245281.18074875002</v>
          </cell>
        </row>
        <row r="30">
          <cell r="D30">
            <v>0</v>
          </cell>
          <cell r="E30">
            <v>0</v>
          </cell>
        </row>
      </sheetData>
      <sheetData sheetId="2">
        <row r="11">
          <cell r="B11">
            <v>220299.58</v>
          </cell>
        </row>
        <row r="13">
          <cell r="B13">
            <v>108753.576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</sheetNames>
    <sheetDataSet>
      <sheetData sheetId="13">
        <row r="10">
          <cell r="D10">
            <v>7040</v>
          </cell>
        </row>
        <row r="11">
          <cell r="D11">
            <v>9000</v>
          </cell>
        </row>
        <row r="12">
          <cell r="D12">
            <v>15300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317">
          <cell r="C317">
            <v>451487.98500000034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9">
          <cell r="B59">
            <v>87939.76980900714</v>
          </cell>
        </row>
        <row r="60">
          <cell r="B60">
            <v>624668.2930949968</v>
          </cell>
        </row>
        <row r="61">
          <cell r="B61">
            <v>107636.87160667294</v>
          </cell>
        </row>
        <row r="62">
          <cell r="B62">
            <v>66773.85771377337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291">
          <cell r="E291">
            <v>484844.61</v>
          </cell>
        </row>
        <row r="292">
          <cell r="E292">
            <v>5000</v>
          </cell>
        </row>
        <row r="293">
          <cell r="E293">
            <v>77358</v>
          </cell>
        </row>
        <row r="294">
          <cell r="E294">
            <v>0</v>
          </cell>
        </row>
        <row r="295">
          <cell r="E295">
            <v>1951597.688</v>
          </cell>
        </row>
        <row r="296">
          <cell r="E296">
            <v>0</v>
          </cell>
        </row>
        <row r="297">
          <cell r="E297">
            <v>1082635.47</v>
          </cell>
        </row>
        <row r="298">
          <cell r="E298">
            <v>110412.972</v>
          </cell>
        </row>
        <row r="301">
          <cell r="E301">
            <v>184388.5</v>
          </cell>
        </row>
        <row r="306">
          <cell r="E306">
            <v>124791</v>
          </cell>
        </row>
        <row r="311">
          <cell r="D311">
            <v>35780</v>
          </cell>
          <cell r="E311">
            <v>908808.5199999997</v>
          </cell>
        </row>
        <row r="312">
          <cell r="D312">
            <v>95771.5</v>
          </cell>
          <cell r="E312">
            <v>427752.91000000003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9">
          <cell r="C49">
            <v>318777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9">
          <cell r="C49">
            <v>285545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E1">
      <selection activeCell="K7" sqref="K7"/>
    </sheetView>
  </sheetViews>
  <sheetFormatPr defaultColWidth="9.140625" defaultRowHeight="12.75"/>
  <cols>
    <col min="1" max="1" width="12.421875" style="0" customWidth="1"/>
    <col min="2" max="2" width="75.57421875" style="0" customWidth="1"/>
    <col min="3" max="4" width="25.00390625" style="0" customWidth="1"/>
    <col min="5" max="8" width="27.7109375" style="0" customWidth="1"/>
    <col min="9" max="9" width="27.00390625" style="0" customWidth="1"/>
    <col min="11" max="11" width="10.28125" style="0" bestFit="1" customWidth="1"/>
  </cols>
  <sheetData>
    <row r="1" spans="1:9" ht="12.75">
      <c r="A1" s="570" t="s">
        <v>311</v>
      </c>
      <c r="B1" s="571"/>
      <c r="C1" s="571"/>
      <c r="D1" s="571"/>
      <c r="E1" s="571"/>
      <c r="F1" s="571"/>
      <c r="G1" s="571"/>
      <c r="H1" s="571"/>
      <c r="I1" s="572"/>
    </row>
    <row r="2" spans="1:9" ht="12.75">
      <c r="A2" s="561" t="s">
        <v>8</v>
      </c>
      <c r="B2" s="562"/>
      <c r="C2" s="562"/>
      <c r="D2" s="562"/>
      <c r="E2" s="562"/>
      <c r="F2" s="562"/>
      <c r="G2" s="562"/>
      <c r="H2" s="562"/>
      <c r="I2" s="563"/>
    </row>
    <row r="3" spans="1:9" ht="12.75">
      <c r="A3" s="159"/>
      <c r="B3" s="4"/>
      <c r="C3" s="564"/>
      <c r="D3" s="565"/>
      <c r="E3" s="565"/>
      <c r="F3" s="565"/>
      <c r="G3" s="565"/>
      <c r="H3" s="565"/>
      <c r="I3" s="160"/>
    </row>
    <row r="4" spans="1:9" ht="13.5" customHeight="1">
      <c r="A4" s="159"/>
      <c r="B4" s="4"/>
      <c r="C4" s="566"/>
      <c r="D4" s="567"/>
      <c r="E4" s="567"/>
      <c r="F4" s="567"/>
      <c r="G4" s="152"/>
      <c r="H4" s="152"/>
      <c r="I4" s="160"/>
    </row>
    <row r="5" spans="1:9" ht="51">
      <c r="A5" s="159"/>
      <c r="B5" s="4"/>
      <c r="C5" s="162" t="s">
        <v>104</v>
      </c>
      <c r="D5" s="162" t="s">
        <v>105</v>
      </c>
      <c r="E5" s="162" t="s">
        <v>106</v>
      </c>
      <c r="F5" s="568" t="s">
        <v>107</v>
      </c>
      <c r="G5" s="569"/>
      <c r="H5" s="162" t="s">
        <v>108</v>
      </c>
      <c r="I5" s="94" t="s">
        <v>179</v>
      </c>
    </row>
    <row r="6" spans="1:9" ht="51">
      <c r="A6" s="159"/>
      <c r="B6" s="4"/>
      <c r="C6" s="282"/>
      <c r="D6" s="283"/>
      <c r="E6" s="282"/>
      <c r="F6" s="282" t="s">
        <v>306</v>
      </c>
      <c r="G6" s="282" t="s">
        <v>305</v>
      </c>
      <c r="H6" s="272"/>
      <c r="I6" s="284"/>
    </row>
    <row r="7" spans="1:9" ht="12.75">
      <c r="A7" s="224"/>
      <c r="B7" s="165"/>
      <c r="C7" s="285"/>
      <c r="D7" s="286"/>
      <c r="E7" s="286"/>
      <c r="F7" s="286"/>
      <c r="G7" s="286"/>
      <c r="H7" s="286"/>
      <c r="I7" s="287"/>
    </row>
    <row r="8" spans="1:9" ht="12.75">
      <c r="A8" s="224"/>
      <c r="B8" s="165"/>
      <c r="C8" s="285"/>
      <c r="D8" s="285"/>
      <c r="E8" s="285"/>
      <c r="F8" s="285"/>
      <c r="G8" s="285"/>
      <c r="H8" s="285"/>
      <c r="I8" s="287"/>
    </row>
    <row r="9" spans="1:9" ht="12.75">
      <c r="A9" s="224"/>
      <c r="B9" s="165"/>
      <c r="C9" s="285"/>
      <c r="D9" s="285"/>
      <c r="E9" s="285"/>
      <c r="F9" s="285"/>
      <c r="G9" s="285"/>
      <c r="H9" s="285"/>
      <c r="I9" s="288"/>
    </row>
    <row r="10" spans="1:9" s="1" customFormat="1" ht="12.75">
      <c r="A10" s="225" t="s">
        <v>1</v>
      </c>
      <c r="B10" s="226" t="s">
        <v>0</v>
      </c>
      <c r="C10" s="289"/>
      <c r="D10" s="289"/>
      <c r="E10" s="289"/>
      <c r="F10" s="289"/>
      <c r="G10" s="289"/>
      <c r="H10" s="289"/>
      <c r="I10" s="290"/>
    </row>
    <row r="11" spans="1:9" s="1" customFormat="1" ht="12.75">
      <c r="A11" s="225"/>
      <c r="B11" s="226"/>
      <c r="C11" s="289"/>
      <c r="D11" s="289"/>
      <c r="E11" s="289"/>
      <c r="F11" s="289"/>
      <c r="G11" s="289"/>
      <c r="H11" s="289"/>
      <c r="I11" s="289"/>
    </row>
    <row r="12" spans="1:9" s="1" customFormat="1" ht="12.75">
      <c r="A12" s="225" t="s">
        <v>43</v>
      </c>
      <c r="B12" s="227" t="s">
        <v>0</v>
      </c>
      <c r="C12" s="291">
        <f>SUM(C13:C23)</f>
        <v>4205890.424123103</v>
      </c>
      <c r="D12" s="291">
        <f>SUM(D13:D23)</f>
        <v>346402.4776</v>
      </c>
      <c r="E12" s="291">
        <f>SUM(E13:E23)</f>
        <v>759726.7547062167</v>
      </c>
      <c r="F12" s="291">
        <f>SUM(F13:F23)</f>
        <v>78633.6054</v>
      </c>
      <c r="G12" s="291">
        <f>SUM(G13:G18)</f>
        <v>280004.7242940974</v>
      </c>
      <c r="H12" s="291">
        <f>SUM(H13:H21)</f>
        <v>0</v>
      </c>
      <c r="I12" s="292">
        <f>SUM(C12:H12)</f>
        <v>5670657.986123417</v>
      </c>
    </row>
    <row r="13" spans="1:9" ht="12.75">
      <c r="A13" s="224"/>
      <c r="B13" s="165"/>
      <c r="C13" s="288"/>
      <c r="D13" s="288"/>
      <c r="E13" s="288"/>
      <c r="F13" s="288"/>
      <c r="G13" s="288"/>
      <c r="H13" s="288"/>
      <c r="I13" s="293"/>
    </row>
    <row r="14" spans="1:9" ht="12.75">
      <c r="A14" s="224"/>
      <c r="B14" s="165" t="s">
        <v>26</v>
      </c>
      <c r="C14" s="288">
        <f>'Competitività e sviluppo imp.'!D10</f>
        <v>2455657.904123103</v>
      </c>
      <c r="D14" s="288">
        <f>'Regolazione dei mercati'!C9</f>
        <v>310602.4776</v>
      </c>
      <c r="E14" s="288">
        <f>'Com. int.le e internaz. imp.'!C9</f>
        <v>700477.277278854</v>
      </c>
      <c r="F14" s="288">
        <f>'Serv. istituz. e gen.'!D9</f>
        <v>78633.6054</v>
      </c>
      <c r="G14" s="288">
        <f>'Serv. istituz. e gen.'!C9</f>
        <v>280004.7242940974</v>
      </c>
      <c r="H14" s="288"/>
      <c r="I14" s="293">
        <f>SUM(C14:H14)</f>
        <v>3825375.9886960536</v>
      </c>
    </row>
    <row r="15" spans="1:9" ht="12.75">
      <c r="A15" s="224"/>
      <c r="B15" s="165"/>
      <c r="C15" s="288"/>
      <c r="D15" s="288"/>
      <c r="E15" s="288"/>
      <c r="F15" s="288"/>
      <c r="G15" s="288"/>
      <c r="H15" s="288"/>
      <c r="I15" s="293"/>
    </row>
    <row r="16" spans="1:9" ht="12.75">
      <c r="A16" s="224"/>
      <c r="B16" s="165" t="s">
        <v>27</v>
      </c>
      <c r="C16" s="288">
        <f>'Competitività e sviluppo imp.'!D12</f>
        <v>136457.15</v>
      </c>
      <c r="D16" s="288"/>
      <c r="E16" s="288">
        <f>'Com. int.le e internaz. imp.'!C11</f>
        <v>0</v>
      </c>
      <c r="F16" s="288"/>
      <c r="G16" s="288">
        <f>'Serv. istituz. e gen.'!C11</f>
        <v>0</v>
      </c>
      <c r="H16" s="288"/>
      <c r="I16" s="293">
        <f>SUM(C16:H16)</f>
        <v>136457.15</v>
      </c>
    </row>
    <row r="17" spans="1:9" ht="12.75">
      <c r="A17" s="224"/>
      <c r="B17" s="165"/>
      <c r="C17" s="288">
        <f>'Competitività e sviluppo imp.'!D13</f>
        <v>0</v>
      </c>
      <c r="D17" s="288"/>
      <c r="E17" s="288"/>
      <c r="F17" s="288"/>
      <c r="G17" s="288">
        <v>0</v>
      </c>
      <c r="H17" s="288"/>
      <c r="I17" s="293"/>
    </row>
    <row r="18" spans="1:9" ht="12.75">
      <c r="A18" s="224"/>
      <c r="B18" s="165" t="s">
        <v>28</v>
      </c>
      <c r="C18" s="288">
        <f>'Competitività e sviluppo imp.'!D14</f>
        <v>1613775.37</v>
      </c>
      <c r="D18" s="288">
        <f>'Regolazione dei mercati'!C13</f>
        <v>35800</v>
      </c>
      <c r="E18" s="288">
        <f>'Com. int.le e internaz. imp.'!C13</f>
        <v>59249.47742736264</v>
      </c>
      <c r="F18" s="288"/>
      <c r="G18" s="288">
        <f>'Serv. istituz. e gen.'!C13</f>
        <v>0</v>
      </c>
      <c r="H18" s="288"/>
      <c r="I18" s="293">
        <f>SUM(C18:H18)</f>
        <v>1708824.8474273628</v>
      </c>
    </row>
    <row r="19" spans="1:9" ht="12.75">
      <c r="A19" s="224"/>
      <c r="B19" s="165"/>
      <c r="C19" s="288"/>
      <c r="D19" s="288"/>
      <c r="E19" s="288"/>
      <c r="F19" s="288"/>
      <c r="G19" s="288"/>
      <c r="H19" s="288"/>
      <c r="I19" s="293"/>
    </row>
    <row r="20" spans="1:9" ht="12.75">
      <c r="A20" s="224"/>
      <c r="B20" s="165"/>
      <c r="C20" s="288"/>
      <c r="D20" s="288"/>
      <c r="E20" s="288"/>
      <c r="F20" s="288"/>
      <c r="G20" s="288"/>
      <c r="H20" s="288"/>
      <c r="I20" s="293"/>
    </row>
    <row r="21" spans="1:9" ht="12.75">
      <c r="A21" s="224"/>
      <c r="B21" s="165"/>
      <c r="C21" s="288"/>
      <c r="D21" s="288"/>
      <c r="E21" s="288"/>
      <c r="F21" s="288"/>
      <c r="G21" s="288"/>
      <c r="H21" s="288"/>
      <c r="I21" s="293"/>
    </row>
    <row r="22" spans="1:9" s="1" customFormat="1" ht="12.75">
      <c r="A22" s="225" t="s">
        <v>2</v>
      </c>
      <c r="B22" s="226" t="s">
        <v>3</v>
      </c>
      <c r="C22" s="289"/>
      <c r="D22" s="289"/>
      <c r="E22" s="289"/>
      <c r="F22" s="289"/>
      <c r="G22" s="289"/>
      <c r="H22" s="289"/>
      <c r="I22" s="293"/>
    </row>
    <row r="23" spans="1:9" ht="12.75">
      <c r="A23" s="224"/>
      <c r="B23" s="165"/>
      <c r="C23" s="288"/>
      <c r="D23" s="288"/>
      <c r="E23" s="288"/>
      <c r="F23" s="288"/>
      <c r="G23" s="288"/>
      <c r="H23" s="288"/>
      <c r="I23" s="293"/>
    </row>
    <row r="24" spans="1:9" ht="12.75">
      <c r="A24" s="224"/>
      <c r="B24" s="227" t="s">
        <v>4</v>
      </c>
      <c r="C24" s="291">
        <f>SUM(C25:C28)</f>
        <v>5000</v>
      </c>
      <c r="D24" s="291">
        <f>SUM(D25:D28)</f>
        <v>0</v>
      </c>
      <c r="E24" s="291">
        <f>SUM(E25:E29)</f>
        <v>8000</v>
      </c>
      <c r="F24" s="291"/>
      <c r="G24" s="291">
        <f>G26</f>
        <v>5422</v>
      </c>
      <c r="H24" s="291"/>
      <c r="I24" s="292">
        <f>SUM(C24:H24)</f>
        <v>18422</v>
      </c>
    </row>
    <row r="25" spans="1:9" ht="12.75">
      <c r="A25" s="224"/>
      <c r="B25" s="165"/>
      <c r="C25" s="288"/>
      <c r="D25" s="288"/>
      <c r="E25" s="288"/>
      <c r="F25" s="288"/>
      <c r="G25" s="288"/>
      <c r="H25" s="288"/>
      <c r="I25" s="293"/>
    </row>
    <row r="26" spans="1:9" ht="12.75">
      <c r="A26" s="224"/>
      <c r="B26" s="165" t="s">
        <v>29</v>
      </c>
      <c r="C26" s="288">
        <f>'Competitività e sviluppo imp.'!D22</f>
        <v>5000</v>
      </c>
      <c r="D26" s="288">
        <f>'Regolazione dei mercati'!C19</f>
        <v>0</v>
      </c>
      <c r="E26" s="288">
        <f>'Com. int.le e internaz. imp.'!C21</f>
        <v>8000</v>
      </c>
      <c r="F26" s="288"/>
      <c r="G26" s="288">
        <f>'Serv. istituz. e gen.'!C21</f>
        <v>5422</v>
      </c>
      <c r="H26" s="288"/>
      <c r="I26" s="293">
        <f>SUM(C26:H26)</f>
        <v>18422</v>
      </c>
    </row>
    <row r="27" spans="1:9" ht="12.75">
      <c r="A27" s="224"/>
      <c r="B27" s="165"/>
      <c r="C27" s="288"/>
      <c r="D27" s="288"/>
      <c r="E27" s="288"/>
      <c r="F27" s="288"/>
      <c r="G27" s="288"/>
      <c r="H27" s="288"/>
      <c r="I27" s="293"/>
    </row>
    <row r="28" spans="1:9" ht="12.75">
      <c r="A28" s="224"/>
      <c r="B28" s="165" t="s">
        <v>509</v>
      </c>
      <c r="C28" s="288"/>
      <c r="D28" s="288"/>
      <c r="E28" s="288"/>
      <c r="F28" s="288"/>
      <c r="G28" s="288"/>
      <c r="H28" s="288"/>
      <c r="I28" s="293"/>
    </row>
    <row r="29" spans="1:9" ht="12.75">
      <c r="A29" s="224"/>
      <c r="B29" s="165"/>
      <c r="C29" s="288"/>
      <c r="D29" s="288"/>
      <c r="E29" s="288"/>
      <c r="F29" s="288"/>
      <c r="G29" s="288"/>
      <c r="H29" s="288"/>
      <c r="I29" s="293"/>
    </row>
    <row r="30" spans="1:9" ht="12.75">
      <c r="A30" s="224"/>
      <c r="B30" s="228" t="s">
        <v>5</v>
      </c>
      <c r="C30" s="294">
        <f>SUM(C31:C34)</f>
        <v>60.5498962784217</v>
      </c>
      <c r="D30" s="294">
        <f>SUM(D31:D34)</f>
        <v>5.319999999999999</v>
      </c>
      <c r="E30" s="294">
        <f>SUM(E31:E34)</f>
        <v>14.699790970945056</v>
      </c>
      <c r="F30" s="294"/>
      <c r="G30" s="294">
        <f>SUM(G31:G33)</f>
        <v>19.430312750633238</v>
      </c>
      <c r="H30" s="294"/>
      <c r="I30" s="292">
        <f>SUM(C30:H30)</f>
        <v>99.99999999999999</v>
      </c>
    </row>
    <row r="31" spans="1:9" ht="12.75">
      <c r="A31" s="224"/>
      <c r="B31" s="165"/>
      <c r="C31" s="288"/>
      <c r="D31" s="288"/>
      <c r="E31" s="288"/>
      <c r="F31" s="288"/>
      <c r="G31" s="288"/>
      <c r="H31" s="288"/>
      <c r="I31" s="293"/>
    </row>
    <row r="32" spans="1:9" ht="12.75">
      <c r="A32" s="224"/>
      <c r="B32" s="165" t="s">
        <v>30</v>
      </c>
      <c r="C32" s="288">
        <f>'Competitività e sviluppo imp.'!D28</f>
        <v>60.5498962784217</v>
      </c>
      <c r="D32" s="288">
        <f>'Regolazione dei mercati'!C24</f>
        <v>5.319999999999999</v>
      </c>
      <c r="E32" s="288">
        <f>'Com. int.le e internaz. imp.'!C26</f>
        <v>14.699790970945056</v>
      </c>
      <c r="F32" s="288"/>
      <c r="G32" s="288">
        <f>'Serv. istituz. e gen.'!C26</f>
        <v>19.430312750633238</v>
      </c>
      <c r="H32" s="288"/>
      <c r="I32" s="293">
        <f>SUM(C32:H32)</f>
        <v>99.99999999999999</v>
      </c>
    </row>
    <row r="33" spans="1:9" ht="12.75">
      <c r="A33" s="224"/>
      <c r="B33" s="165"/>
      <c r="C33" s="288"/>
      <c r="D33" s="288"/>
      <c r="E33" s="288"/>
      <c r="F33" s="288"/>
      <c r="G33" s="288"/>
      <c r="H33" s="288"/>
      <c r="I33" s="293"/>
    </row>
    <row r="34" spans="1:9" ht="12.75">
      <c r="A34" s="224"/>
      <c r="B34" s="165"/>
      <c r="C34" s="288"/>
      <c r="D34" s="288"/>
      <c r="E34" s="288"/>
      <c r="F34" s="288"/>
      <c r="G34" s="288"/>
      <c r="H34" s="288"/>
      <c r="I34" s="293"/>
    </row>
    <row r="35" spans="1:9" ht="12.75">
      <c r="A35" s="224"/>
      <c r="B35" s="228" t="s">
        <v>7</v>
      </c>
      <c r="C35" s="294"/>
      <c r="D35" s="294"/>
      <c r="E35" s="294"/>
      <c r="F35" s="294"/>
      <c r="G35" s="294">
        <f>SUM(G36:G41)</f>
        <v>0</v>
      </c>
      <c r="H35" s="294"/>
      <c r="I35" s="295">
        <f>SUM(C35:H35)</f>
        <v>0</v>
      </c>
    </row>
    <row r="36" spans="1:9" ht="12.75">
      <c r="A36" s="224"/>
      <c r="B36" s="165"/>
      <c r="C36" s="288"/>
      <c r="D36" s="288"/>
      <c r="E36" s="288"/>
      <c r="F36" s="288"/>
      <c r="G36" s="288"/>
      <c r="H36" s="288"/>
      <c r="I36" s="293"/>
    </row>
    <row r="37" spans="1:9" ht="12.75">
      <c r="A37" s="224"/>
      <c r="B37" s="165" t="s">
        <v>31</v>
      </c>
      <c r="C37" s="288"/>
      <c r="D37" s="288"/>
      <c r="E37" s="288"/>
      <c r="F37" s="288"/>
      <c r="G37" s="288">
        <f>'Serv. istituz. e gen.'!C31</f>
        <v>0</v>
      </c>
      <c r="H37" s="288"/>
      <c r="I37" s="293">
        <f>SUM(C37:H37)</f>
        <v>0</v>
      </c>
    </row>
    <row r="38" spans="1:9" ht="12.75">
      <c r="A38" s="224"/>
      <c r="B38" s="165"/>
      <c r="C38" s="288"/>
      <c r="D38" s="288"/>
      <c r="E38" s="288"/>
      <c r="F38" s="288"/>
      <c r="G38" s="288"/>
      <c r="H38" s="288"/>
      <c r="I38" s="293"/>
    </row>
    <row r="39" spans="1:9" ht="12.75">
      <c r="A39" s="224"/>
      <c r="B39" s="165" t="s">
        <v>32</v>
      </c>
      <c r="C39" s="288"/>
      <c r="D39" s="288"/>
      <c r="E39" s="288"/>
      <c r="F39" s="288"/>
      <c r="G39" s="288"/>
      <c r="H39" s="288"/>
      <c r="I39" s="293"/>
    </row>
    <row r="40" spans="1:9" ht="12.75">
      <c r="A40" s="224"/>
      <c r="B40" s="165"/>
      <c r="C40" s="288"/>
      <c r="D40" s="288"/>
      <c r="E40" s="288"/>
      <c r="F40" s="288"/>
      <c r="G40" s="288"/>
      <c r="H40" s="288"/>
      <c r="I40" s="293"/>
    </row>
    <row r="41" spans="1:9" s="1" customFormat="1" ht="12.75">
      <c r="A41" s="225" t="s">
        <v>2</v>
      </c>
      <c r="B41" s="226" t="s">
        <v>48</v>
      </c>
      <c r="C41" s="289"/>
      <c r="D41" s="289"/>
      <c r="E41" s="289"/>
      <c r="F41" s="289"/>
      <c r="G41" s="289"/>
      <c r="H41" s="289"/>
      <c r="I41" s="293"/>
    </row>
    <row r="42" spans="1:9" ht="12.75">
      <c r="A42" s="224"/>
      <c r="B42" s="165"/>
      <c r="C42" s="288"/>
      <c r="D42" s="288"/>
      <c r="E42" s="288"/>
      <c r="F42" s="288"/>
      <c r="G42" s="288"/>
      <c r="H42" s="288"/>
      <c r="I42" s="289"/>
    </row>
    <row r="43" spans="1:9" ht="12.75">
      <c r="A43" s="224"/>
      <c r="B43" s="228" t="s">
        <v>45</v>
      </c>
      <c r="C43" s="294">
        <f>C49</f>
        <v>89000</v>
      </c>
      <c r="D43" s="294"/>
      <c r="E43" s="294"/>
      <c r="F43" s="294"/>
      <c r="G43" s="294">
        <f>SUM(G44:G49)</f>
        <v>32741</v>
      </c>
      <c r="H43" s="294"/>
      <c r="I43" s="292">
        <f>SUM(C43:H43)</f>
        <v>121741</v>
      </c>
    </row>
    <row r="44" spans="1:9" ht="12.75">
      <c r="A44" s="224"/>
      <c r="B44" s="165"/>
      <c r="C44" s="288"/>
      <c r="D44" s="288"/>
      <c r="E44" s="288"/>
      <c r="F44" s="288"/>
      <c r="G44" s="288"/>
      <c r="H44" s="288"/>
      <c r="I44" s="293"/>
    </row>
    <row r="45" spans="1:9" ht="12.75">
      <c r="A45" s="224"/>
      <c r="B45" s="165" t="s">
        <v>46</v>
      </c>
      <c r="C45" s="288"/>
      <c r="D45" s="288"/>
      <c r="E45" s="288"/>
      <c r="F45" s="288"/>
      <c r="G45" s="288"/>
      <c r="H45" s="288"/>
      <c r="I45" s="293"/>
    </row>
    <row r="46" spans="1:9" ht="12.75">
      <c r="A46" s="224"/>
      <c r="B46" s="165"/>
      <c r="C46" s="288"/>
      <c r="D46" s="288"/>
      <c r="E46" s="288"/>
      <c r="F46" s="288"/>
      <c r="G46" s="288"/>
      <c r="H46" s="288"/>
      <c r="I46" s="293"/>
    </row>
    <row r="47" spans="1:9" ht="12.75">
      <c r="A47" s="224"/>
      <c r="B47" s="165" t="s">
        <v>47</v>
      </c>
      <c r="C47" s="9"/>
      <c r="D47" s="288"/>
      <c r="E47" s="288"/>
      <c r="F47" s="288"/>
      <c r="G47" s="288">
        <f>'Serv. istituz. e gen.'!C35</f>
        <v>32741</v>
      </c>
      <c r="H47" s="288"/>
      <c r="I47" s="293">
        <f>SUM(C47:H47)</f>
        <v>32741</v>
      </c>
    </row>
    <row r="48" spans="1:9" ht="12.75">
      <c r="A48" s="224"/>
      <c r="B48" s="229"/>
      <c r="C48" s="288"/>
      <c r="D48" s="288"/>
      <c r="E48" s="288"/>
      <c r="F48" s="288"/>
      <c r="G48" s="288"/>
      <c r="H48" s="288"/>
      <c r="I48" s="293"/>
    </row>
    <row r="49" spans="1:9" ht="12.75">
      <c r="A49" s="224"/>
      <c r="B49" s="229" t="s">
        <v>50</v>
      </c>
      <c r="C49" s="288">
        <f>'Competitività e sviluppo imp.'!D24</f>
        <v>89000</v>
      </c>
      <c r="D49" s="288"/>
      <c r="E49" s="288"/>
      <c r="F49" s="288"/>
      <c r="G49" s="288"/>
      <c r="H49" s="288"/>
      <c r="I49" s="293">
        <f>SUM(C49:H49)</f>
        <v>89000</v>
      </c>
    </row>
    <row r="50" spans="1:9" ht="10.5" customHeight="1">
      <c r="A50" s="224"/>
      <c r="B50" s="165"/>
      <c r="C50" s="288"/>
      <c r="D50" s="288"/>
      <c r="E50" s="288"/>
      <c r="F50" s="288"/>
      <c r="G50" s="288"/>
      <c r="H50" s="288"/>
      <c r="I50" s="289"/>
    </row>
    <row r="51" spans="1:9" ht="12.75">
      <c r="A51" s="224"/>
      <c r="B51" s="228" t="s">
        <v>175</v>
      </c>
      <c r="C51" s="294">
        <f>SUM(C52:C57)</f>
        <v>0</v>
      </c>
      <c r="D51" s="294">
        <f>SUM(D52:D57)</f>
        <v>0</v>
      </c>
      <c r="E51" s="294">
        <f>SUM(E52:E57)</f>
        <v>0</v>
      </c>
      <c r="F51" s="294">
        <f>SUM(F52:F57)</f>
        <v>0</v>
      </c>
      <c r="G51" s="294">
        <f>SUM(G52:G57)</f>
        <v>0</v>
      </c>
      <c r="H51" s="294"/>
      <c r="I51" s="292">
        <f>SUM(C51:H51)</f>
        <v>0</v>
      </c>
    </row>
    <row r="52" spans="1:9" ht="12.75">
      <c r="A52" s="224"/>
      <c r="B52" s="165"/>
      <c r="C52" s="26"/>
      <c r="D52" s="26"/>
      <c r="E52" s="26"/>
      <c r="F52" s="26"/>
      <c r="G52" s="26"/>
      <c r="H52" s="26"/>
      <c r="I52" s="26"/>
    </row>
    <row r="53" spans="1:9" ht="12.75">
      <c r="A53" s="224"/>
      <c r="B53" s="229" t="s">
        <v>173</v>
      </c>
      <c r="C53" s="26">
        <f>'Competitività e sviluppo imp.'!D39</f>
        <v>0</v>
      </c>
      <c r="D53" s="26">
        <f>'Regolazione dei mercati'!C35</f>
        <v>0</v>
      </c>
      <c r="E53" s="26">
        <f>'Com. int.le e internaz. imp.'!C37</f>
        <v>0</v>
      </c>
      <c r="F53" s="26">
        <f>'Serv. istituz. e gen.'!D37</f>
        <v>0</v>
      </c>
      <c r="G53" s="26">
        <f>'Serv. istituz. e gen.'!C39</f>
        <v>0</v>
      </c>
      <c r="H53" s="26"/>
      <c r="I53" s="26">
        <f>SUM(C53:H53)</f>
        <v>0</v>
      </c>
    </row>
    <row r="54" spans="1:9" ht="12.75">
      <c r="A54" s="224"/>
      <c r="B54" s="165"/>
      <c r="C54" s="26"/>
      <c r="D54" s="26"/>
      <c r="E54" s="45"/>
      <c r="F54" s="26"/>
      <c r="G54" s="26"/>
      <c r="H54" s="26"/>
      <c r="I54" s="26"/>
    </row>
    <row r="55" spans="1:9" ht="12.75">
      <c r="A55" s="224"/>
      <c r="B55" s="165"/>
      <c r="C55" s="26"/>
      <c r="D55" s="26"/>
      <c r="E55" s="26"/>
      <c r="F55" s="26"/>
      <c r="G55" s="26"/>
      <c r="H55" s="26"/>
      <c r="I55" s="26"/>
    </row>
    <row r="56" spans="1:9" ht="17.25" customHeight="1">
      <c r="A56" s="224"/>
      <c r="B56" s="165"/>
      <c r="C56" s="26"/>
      <c r="D56" s="164"/>
      <c r="E56" s="164"/>
      <c r="F56" s="164"/>
      <c r="G56" s="164"/>
      <c r="H56" s="164"/>
      <c r="I56" s="26"/>
    </row>
    <row r="57" spans="1:9" ht="3.75" customHeight="1" hidden="1">
      <c r="A57" s="224"/>
      <c r="B57" s="165"/>
      <c r="C57" s="26"/>
      <c r="D57" s="165"/>
      <c r="E57" s="165"/>
      <c r="F57" s="165"/>
      <c r="G57" s="165"/>
      <c r="H57" s="165"/>
      <c r="I57" s="164"/>
    </row>
    <row r="58" spans="1:11" s="1" customFormat="1" ht="15.75" customHeight="1">
      <c r="A58" s="161" t="s">
        <v>33</v>
      </c>
      <c r="B58" s="230"/>
      <c r="C58" s="161">
        <f aca="true" t="shared" si="0" ref="C58:I58">C12+C24+C30+C35+C43+C51</f>
        <v>4299950.974019381</v>
      </c>
      <c r="D58" s="163">
        <f t="shared" si="0"/>
        <v>346407.7976</v>
      </c>
      <c r="E58" s="161">
        <f t="shared" si="0"/>
        <v>767741.4544971876</v>
      </c>
      <c r="F58" s="161">
        <f t="shared" si="0"/>
        <v>78633.6054</v>
      </c>
      <c r="G58" s="161">
        <f t="shared" si="0"/>
        <v>318187.154606848</v>
      </c>
      <c r="H58" s="161">
        <f t="shared" si="0"/>
        <v>0</v>
      </c>
      <c r="I58" s="161">
        <f t="shared" si="0"/>
        <v>5810920.986123417</v>
      </c>
      <c r="K58" s="464"/>
    </row>
    <row r="59" spans="1:9" ht="12.75">
      <c r="A59" s="279"/>
      <c r="B59" s="280"/>
      <c r="C59" s="280"/>
      <c r="D59" s="280"/>
      <c r="E59" s="280"/>
      <c r="F59" s="280"/>
      <c r="G59" s="280"/>
      <c r="H59" s="280"/>
      <c r="I59" s="281"/>
    </row>
    <row r="60" spans="1:11" ht="12.75">
      <c r="A60" s="570" t="s">
        <v>311</v>
      </c>
      <c r="B60" s="571"/>
      <c r="C60" s="571"/>
      <c r="D60" s="571"/>
      <c r="E60" s="571"/>
      <c r="F60" s="571"/>
      <c r="G60" s="571"/>
      <c r="H60" s="571"/>
      <c r="I60" s="572"/>
      <c r="K60" s="166"/>
    </row>
    <row r="61" spans="1:9" ht="12.75">
      <c r="A61" s="561" t="s">
        <v>9</v>
      </c>
      <c r="B61" s="562"/>
      <c r="C61" s="562"/>
      <c r="D61" s="562"/>
      <c r="E61" s="562"/>
      <c r="F61" s="562"/>
      <c r="G61" s="562"/>
      <c r="H61" s="562"/>
      <c r="I61" s="563"/>
    </row>
    <row r="62" spans="1:9" ht="12.75">
      <c r="A62" s="159"/>
      <c r="B62" s="4"/>
      <c r="C62" s="564"/>
      <c r="D62" s="565"/>
      <c r="E62" s="565"/>
      <c r="F62" s="565"/>
      <c r="G62" s="565"/>
      <c r="H62" s="565"/>
      <c r="I62" s="160"/>
    </row>
    <row r="63" spans="1:9" ht="13.5" customHeight="1">
      <c r="A63" s="159"/>
      <c r="B63" s="4"/>
      <c r="C63" s="566"/>
      <c r="D63" s="567"/>
      <c r="E63" s="567"/>
      <c r="F63" s="567"/>
      <c r="G63" s="152"/>
      <c r="H63" s="152"/>
      <c r="I63" s="160"/>
    </row>
    <row r="64" spans="1:9" ht="51">
      <c r="A64" s="159"/>
      <c r="B64" s="4"/>
      <c r="C64" s="162" t="s">
        <v>104</v>
      </c>
      <c r="D64" s="162" t="s">
        <v>105</v>
      </c>
      <c r="E64" s="162" t="s">
        <v>106</v>
      </c>
      <c r="F64" s="568" t="s">
        <v>107</v>
      </c>
      <c r="G64" s="569"/>
      <c r="H64" s="162" t="s">
        <v>108</v>
      </c>
      <c r="I64" s="94" t="s">
        <v>179</v>
      </c>
    </row>
    <row r="65" spans="1:9" ht="51">
      <c r="A65" s="159"/>
      <c r="B65" s="4"/>
      <c r="C65" s="282"/>
      <c r="D65" s="283"/>
      <c r="E65" s="282"/>
      <c r="F65" s="282" t="s">
        <v>306</v>
      </c>
      <c r="G65" s="282" t="s">
        <v>305</v>
      </c>
      <c r="H65" s="272"/>
      <c r="I65" s="284"/>
    </row>
    <row r="66" spans="1:9" ht="12.75">
      <c r="A66" s="224"/>
      <c r="B66" s="165"/>
      <c r="C66" s="26"/>
      <c r="D66" s="26"/>
      <c r="E66" s="26"/>
      <c r="F66" s="26"/>
      <c r="G66" s="26"/>
      <c r="H66" s="26"/>
      <c r="I66" s="26"/>
    </row>
    <row r="67" spans="1:9" ht="12.75">
      <c r="A67" s="225" t="s">
        <v>2</v>
      </c>
      <c r="B67" s="226" t="s">
        <v>10</v>
      </c>
      <c r="C67" s="25"/>
      <c r="D67" s="25"/>
      <c r="E67" s="25"/>
      <c r="F67" s="25"/>
      <c r="G67" s="25"/>
      <c r="H67" s="25"/>
      <c r="I67" s="231" t="s">
        <v>6</v>
      </c>
    </row>
    <row r="68" spans="1:9" ht="12.75">
      <c r="A68" s="224"/>
      <c r="B68" s="165"/>
      <c r="C68" s="26"/>
      <c r="D68" s="26"/>
      <c r="E68" s="26"/>
      <c r="F68" s="26"/>
      <c r="G68" s="26"/>
      <c r="H68" s="26"/>
      <c r="I68" s="26"/>
    </row>
    <row r="69" spans="1:9" ht="12.75">
      <c r="A69" s="224"/>
      <c r="B69" s="228" t="s">
        <v>11</v>
      </c>
      <c r="C69" s="295">
        <f>SUM(C70:C75)</f>
        <v>950047.238299218</v>
      </c>
      <c r="D69" s="295">
        <f>SUM(D70:D75)</f>
        <v>42833.800184</v>
      </c>
      <c r="E69" s="295">
        <f>SUM(E70:E75)</f>
        <v>225891.45514962933</v>
      </c>
      <c r="F69" s="295">
        <f>SUM(F70:F75)</f>
        <v>46537.474636</v>
      </c>
      <c r="G69" s="295">
        <f>SUM(G70:G75)</f>
        <v>246442.50636715256</v>
      </c>
      <c r="H69" s="295"/>
      <c r="I69" s="292">
        <f>SUM(C69:H69)</f>
        <v>1511752.474636</v>
      </c>
    </row>
    <row r="70" spans="1:9" ht="12.75">
      <c r="A70" s="224"/>
      <c r="B70" s="165"/>
      <c r="C70" s="26"/>
      <c r="D70" s="26"/>
      <c r="E70" s="26"/>
      <c r="F70" s="26"/>
      <c r="G70" s="26"/>
      <c r="H70" s="26"/>
      <c r="I70" s="26"/>
    </row>
    <row r="71" spans="1:9" s="298" customFormat="1" ht="12.75">
      <c r="A71" s="296"/>
      <c r="B71" s="297" t="s">
        <v>178</v>
      </c>
      <c r="C71" s="288">
        <f>'Competitività e sviluppo imp.'!D51</f>
        <v>665033.0668094526</v>
      </c>
      <c r="D71" s="288">
        <f>'Regolazione dei mercati'!C47</f>
        <v>29983.6601288</v>
      </c>
      <c r="E71" s="288">
        <f>'Com. int.le e internaz. imp.'!C49</f>
        <v>158124.01860474053</v>
      </c>
      <c r="F71" s="288">
        <f>'Serv. istituz. e gen.'!D50</f>
        <v>32576.232245199997</v>
      </c>
      <c r="G71" s="288">
        <f>'Serv. istituz. e gen.'!C50</f>
        <v>172509.75445700678</v>
      </c>
      <c r="H71" s="288"/>
      <c r="I71" s="288">
        <f>SUM(C71:H71)</f>
        <v>1058226.7322451998</v>
      </c>
    </row>
    <row r="72" spans="1:9" ht="12.75">
      <c r="A72" s="224"/>
      <c r="B72" s="165"/>
      <c r="C72" s="288"/>
      <c r="D72" s="288"/>
      <c r="E72" s="288"/>
      <c r="F72" s="288"/>
      <c r="G72" s="288"/>
      <c r="H72" s="26"/>
      <c r="I72" s="26"/>
    </row>
    <row r="73" spans="1:9" ht="12.75">
      <c r="A73" s="224"/>
      <c r="B73" s="165" t="s">
        <v>14</v>
      </c>
      <c r="C73" s="288">
        <f>'Competitività e sviluppo imp.'!D53</f>
        <v>285014.1714897654</v>
      </c>
      <c r="D73" s="288">
        <f>'Regolazione dei mercati'!C49</f>
        <v>12850.1400552</v>
      </c>
      <c r="E73" s="288">
        <f>'Com. int.le e internaz. imp.'!C51</f>
        <v>67767.4365448888</v>
      </c>
      <c r="F73" s="288">
        <f>'Serv. istituz. e gen.'!D52</f>
        <v>13961.2423908</v>
      </c>
      <c r="G73" s="288">
        <f>'Serv. istituz. e gen.'!C52</f>
        <v>73932.75191014576</v>
      </c>
      <c r="H73" s="26"/>
      <c r="I73" s="26">
        <f>SUM(C73:H73)</f>
        <v>453525.7423908</v>
      </c>
    </row>
    <row r="74" spans="1:9" ht="12.75">
      <c r="A74" s="224"/>
      <c r="B74" s="165"/>
      <c r="C74" s="26"/>
      <c r="D74" s="26"/>
      <c r="E74" s="26"/>
      <c r="F74" s="26"/>
      <c r="G74" s="26"/>
      <c r="H74" s="26"/>
      <c r="I74" s="26"/>
    </row>
    <row r="75" spans="1:9" ht="12.75">
      <c r="A75" s="224"/>
      <c r="B75" s="165"/>
      <c r="C75" s="26"/>
      <c r="D75" s="26"/>
      <c r="E75" s="26"/>
      <c r="F75" s="26"/>
      <c r="G75" s="26"/>
      <c r="H75" s="26"/>
      <c r="I75" s="26"/>
    </row>
    <row r="76" spans="1:9" ht="12.75">
      <c r="A76" s="224"/>
      <c r="B76" s="228" t="s">
        <v>12</v>
      </c>
      <c r="C76" s="295">
        <f>SUM(C77:C80)</f>
        <v>42384.92739489519</v>
      </c>
      <c r="D76" s="295">
        <f>SUM(D77:D80)</f>
        <v>3724</v>
      </c>
      <c r="E76" s="295">
        <f>SUM(E77:E80)</f>
        <v>10289.853679661539</v>
      </c>
      <c r="F76" s="295">
        <f>SUM(F77:F79)</f>
        <v>0</v>
      </c>
      <c r="G76" s="295">
        <f>SUM(G77:G79)</f>
        <v>13601.218925443267</v>
      </c>
      <c r="H76" s="295"/>
      <c r="I76" s="292">
        <f>SUM(C76:H76)</f>
        <v>70000</v>
      </c>
    </row>
    <row r="77" spans="1:9" ht="12.75">
      <c r="A77" s="224"/>
      <c r="B77" s="165"/>
      <c r="C77" s="26"/>
      <c r="D77" s="26"/>
      <c r="E77" s="26"/>
      <c r="F77" s="26"/>
      <c r="G77" s="26"/>
      <c r="H77" s="26"/>
      <c r="I77" s="26"/>
    </row>
    <row r="78" spans="1:9" ht="12.75">
      <c r="A78" s="224"/>
      <c r="B78" s="229" t="s">
        <v>16</v>
      </c>
      <c r="C78" s="26">
        <f>'Competitività e sviluppo imp.'!D58</f>
        <v>42384.92739489519</v>
      </c>
      <c r="D78" s="26">
        <f>'Regolazione dei mercati'!C54</f>
        <v>3724</v>
      </c>
      <c r="E78" s="26">
        <f>'Com. int.le e internaz. imp.'!C56</f>
        <v>10289.853679661539</v>
      </c>
      <c r="F78" s="26">
        <f>'Serv. istituz. e gen.'!D57</f>
        <v>0</v>
      </c>
      <c r="G78" s="26">
        <f>'Serv. istituz. e gen.'!C57</f>
        <v>13601.218925443267</v>
      </c>
      <c r="H78" s="26"/>
      <c r="I78" s="26">
        <f>SUM(C78:H78)</f>
        <v>70000</v>
      </c>
    </row>
    <row r="79" spans="1:9" ht="12.75">
      <c r="A79" s="224"/>
      <c r="B79" s="165"/>
      <c r="C79" s="26"/>
      <c r="D79" s="26"/>
      <c r="E79" s="26"/>
      <c r="F79" s="26"/>
      <c r="G79" s="26"/>
      <c r="H79" s="26"/>
      <c r="I79" s="26"/>
    </row>
    <row r="80" spans="1:9" ht="12.75">
      <c r="A80" s="224"/>
      <c r="B80" s="165"/>
      <c r="C80" s="26"/>
      <c r="D80" s="26"/>
      <c r="E80" s="26"/>
      <c r="F80" s="26"/>
      <c r="G80" s="26"/>
      <c r="H80" s="26"/>
      <c r="I80" s="26"/>
    </row>
    <row r="81" spans="1:9" ht="12.75">
      <c r="A81" s="224"/>
      <c r="B81" s="228" t="s">
        <v>13</v>
      </c>
      <c r="C81" s="295">
        <f>SUM(C82:C86)</f>
        <v>1500338.1308698466</v>
      </c>
      <c r="D81" s="295">
        <f>SUM(D82:D86)</f>
        <v>200368.34412</v>
      </c>
      <c r="E81" s="295">
        <f>SUM(E82:E86)</f>
        <v>167152.243467048</v>
      </c>
      <c r="F81" s="295">
        <f>SUM(F82:F86)</f>
        <v>52000</v>
      </c>
      <c r="G81" s="295">
        <f>SUM(G83:G85)</f>
        <v>142848.826186529</v>
      </c>
      <c r="H81" s="295"/>
      <c r="I81" s="292">
        <f>SUM(C81:H81)</f>
        <v>2062707.5446434235</v>
      </c>
    </row>
    <row r="82" spans="1:9" ht="12.75">
      <c r="A82" s="224"/>
      <c r="B82" s="165"/>
      <c r="C82" s="26"/>
      <c r="D82" s="26"/>
      <c r="E82" s="26"/>
      <c r="F82" s="26"/>
      <c r="G82" s="26"/>
      <c r="H82" s="26"/>
      <c r="I82" s="26"/>
    </row>
    <row r="83" spans="1:9" ht="12.75">
      <c r="A83" s="224"/>
      <c r="B83" s="165" t="s">
        <v>49</v>
      </c>
      <c r="C83" s="26">
        <f>'Competitività e sviluppo imp.'!D65</f>
        <v>20283.898698413526</v>
      </c>
      <c r="D83" s="26">
        <f>'Regolazione dei mercati'!C61</f>
        <v>1782.1721870399997</v>
      </c>
      <c r="E83" s="26">
        <f>'Com. int.le e internaz. imp.'!C63</f>
        <v>4924.353124759397</v>
      </c>
      <c r="F83" s="288">
        <f>'Serv. istituz. e gen.'!D64</f>
        <v>0</v>
      </c>
      <c r="G83" s="26">
        <f>'Serv. istituz. e gen.'!C64</f>
        <v>6509.053189787073</v>
      </c>
      <c r="H83" s="26"/>
      <c r="I83" s="26">
        <f>SUM(C83:H83)</f>
        <v>33499.477199999994</v>
      </c>
    </row>
    <row r="84" spans="1:9" ht="12.75">
      <c r="A84" s="224"/>
      <c r="B84" s="165"/>
      <c r="C84" s="26"/>
      <c r="D84" s="26"/>
      <c r="E84" s="26"/>
      <c r="F84" s="288"/>
      <c r="G84" s="26"/>
      <c r="H84" s="26"/>
      <c r="I84" s="26"/>
    </row>
    <row r="85" spans="1:9" ht="12.75">
      <c r="A85" s="224"/>
      <c r="B85" s="165" t="s">
        <v>17</v>
      </c>
      <c r="C85" s="26">
        <f>'Competitività e sviluppo imp.'!D63</f>
        <v>1480054.232171433</v>
      </c>
      <c r="D85" s="26">
        <f>'Regolazione dei mercati'!C59</f>
        <v>198586.17193296</v>
      </c>
      <c r="E85" s="26">
        <f>'Com. int.le e internaz. imp.'!C61</f>
        <v>162227.89034228862</v>
      </c>
      <c r="F85" s="288">
        <f>'Serv. istituz. e gen.'!D62</f>
        <v>52000</v>
      </c>
      <c r="G85" s="26">
        <f>'Serv. istituz. e gen.'!C62</f>
        <v>136339.77299674193</v>
      </c>
      <c r="H85" s="26"/>
      <c r="I85" s="26">
        <f>SUM(C85:H85)</f>
        <v>2029208.0674434234</v>
      </c>
    </row>
    <row r="86" spans="1:9" ht="12.75">
      <c r="A86" s="224"/>
      <c r="B86" s="165"/>
      <c r="C86" s="26"/>
      <c r="D86" s="26"/>
      <c r="E86" s="26"/>
      <c r="F86" s="288">
        <f>'Serv. istituz. e gen.'!D67</f>
        <v>0</v>
      </c>
      <c r="G86" s="26"/>
      <c r="H86" s="26"/>
      <c r="I86" s="26"/>
    </row>
    <row r="87" spans="1:9" ht="12.75">
      <c r="A87" s="224"/>
      <c r="B87" s="228" t="s">
        <v>0</v>
      </c>
      <c r="C87" s="295">
        <f>SUM(C88:C96)</f>
        <v>2274398.528</v>
      </c>
      <c r="D87" s="295">
        <f>SUM(D88:D95)</f>
        <v>223713.89</v>
      </c>
      <c r="E87" s="295">
        <f>SUM(E88:E96)</f>
        <v>339086.25</v>
      </c>
      <c r="F87" s="295">
        <f>SUM(F89:F95)</f>
        <v>0</v>
      </c>
      <c r="G87" s="295">
        <f>SUM(G89:G95)</f>
        <v>0</v>
      </c>
      <c r="H87" s="295">
        <f>SUM(H88:H94)</f>
        <v>0</v>
      </c>
      <c r="I87" s="292">
        <f>SUM(C87:H87)</f>
        <v>2837198.668</v>
      </c>
    </row>
    <row r="88" spans="1:9" ht="12.75">
      <c r="A88" s="224"/>
      <c r="B88" s="165"/>
      <c r="C88" s="26"/>
      <c r="D88" s="26"/>
      <c r="E88" s="26"/>
      <c r="F88" s="26"/>
      <c r="G88" s="26"/>
      <c r="H88" s="26"/>
      <c r="I88" s="26"/>
    </row>
    <row r="89" spans="1:9" ht="12.75">
      <c r="A89" s="224"/>
      <c r="B89" s="165" t="s">
        <v>18</v>
      </c>
      <c r="C89" s="45">
        <f>'Competitività e sviluppo imp.'!D69</f>
        <v>722137.265</v>
      </c>
      <c r="D89" s="26">
        <f>'Regolazione dei mercati'!C65</f>
        <v>38713.89</v>
      </c>
      <c r="E89" s="26">
        <f>'Com. int.le e internaz. imp.'!C67</f>
        <v>99408.87</v>
      </c>
      <c r="F89" s="165"/>
      <c r="G89" s="26">
        <f>'Serv. istituz. e gen.'!C68</f>
        <v>0</v>
      </c>
      <c r="H89" s="26"/>
      <c r="I89" s="26">
        <f>SUM(C89:H89)</f>
        <v>860260.025</v>
      </c>
    </row>
    <row r="90" spans="1:9" ht="12.75">
      <c r="A90" s="224"/>
      <c r="B90" s="165"/>
      <c r="C90" s="26"/>
      <c r="D90" s="26"/>
      <c r="E90" s="26"/>
      <c r="F90" s="26"/>
      <c r="G90" s="26"/>
      <c r="H90" s="26"/>
      <c r="I90" s="26"/>
    </row>
    <row r="91" spans="1:9" ht="12.75">
      <c r="A91" s="224"/>
      <c r="B91" s="165" t="s">
        <v>19</v>
      </c>
      <c r="C91" s="26">
        <f>'Competitività e sviluppo imp.'!D71</f>
        <v>416939.96299999993</v>
      </c>
      <c r="D91" s="26">
        <f>'Regolazione dei mercati'!C67</f>
        <v>185000</v>
      </c>
      <c r="E91" s="26">
        <f>'Com. int.le e internaz. imp.'!C69</f>
        <v>233017.62</v>
      </c>
      <c r="F91" s="26"/>
      <c r="G91" s="26"/>
      <c r="H91" s="26"/>
      <c r="I91" s="26">
        <f>SUM(C91:H91)</f>
        <v>834957.583</v>
      </c>
    </row>
    <row r="92" spans="1:9" ht="12.75">
      <c r="A92" s="224"/>
      <c r="B92" s="165"/>
      <c r="C92" s="26"/>
      <c r="D92" s="26"/>
      <c r="E92" s="26"/>
      <c r="F92" s="26"/>
      <c r="G92" s="26"/>
      <c r="H92" s="26"/>
      <c r="I92" s="26"/>
    </row>
    <row r="93" spans="1:9" ht="12.75">
      <c r="A93" s="224"/>
      <c r="B93" s="165" t="s">
        <v>20</v>
      </c>
      <c r="C93" s="26">
        <f>'Competitività e sviluppo imp.'!D73</f>
        <v>0</v>
      </c>
      <c r="D93" s="26"/>
      <c r="E93" s="26">
        <f>'Com. int.le e internaz. imp.'!C71</f>
        <v>0</v>
      </c>
      <c r="F93" s="26"/>
      <c r="G93" s="26"/>
      <c r="H93" s="26"/>
      <c r="I93" s="26">
        <f>SUM(C93:H93)</f>
        <v>0</v>
      </c>
    </row>
    <row r="94" spans="1:9" ht="12.75">
      <c r="A94" s="224"/>
      <c r="B94" s="165"/>
      <c r="C94" s="26"/>
      <c r="D94" s="26"/>
      <c r="E94" s="26"/>
      <c r="F94" s="26"/>
      <c r="G94" s="26"/>
      <c r="H94" s="26"/>
      <c r="I94" s="26"/>
    </row>
    <row r="95" spans="1:9" ht="12.75">
      <c r="A95" s="224"/>
      <c r="B95" s="229" t="s">
        <v>291</v>
      </c>
      <c r="C95" s="26">
        <f>'Competitività e sviluppo imp.'!D75</f>
        <v>1135321.3</v>
      </c>
      <c r="D95" s="26"/>
      <c r="E95" s="26">
        <f>'Com. int.le e internaz. imp.'!C73</f>
        <v>6659.760000000002</v>
      </c>
      <c r="F95" s="26"/>
      <c r="G95" s="26"/>
      <c r="H95" s="26"/>
      <c r="I95" s="26">
        <f>SUM(C95:H95)</f>
        <v>1141981.06</v>
      </c>
    </row>
    <row r="96" spans="1:9" ht="12.75">
      <c r="A96" s="224"/>
      <c r="B96" s="165"/>
      <c r="C96" s="26"/>
      <c r="D96" s="26"/>
      <c r="E96" s="26"/>
      <c r="F96" s="26"/>
      <c r="G96" s="26"/>
      <c r="H96" s="26"/>
      <c r="I96" s="26"/>
    </row>
    <row r="97" spans="1:9" ht="12.75">
      <c r="A97" s="224"/>
      <c r="B97" s="227" t="s">
        <v>347</v>
      </c>
      <c r="C97" s="295">
        <f>C99</f>
        <v>60.5498962784217</v>
      </c>
      <c r="D97" s="295">
        <f>D99</f>
        <v>5.319999999999999</v>
      </c>
      <c r="E97" s="295">
        <f>E99</f>
        <v>14.699790970945056</v>
      </c>
      <c r="F97" s="295">
        <f>F99</f>
        <v>0</v>
      </c>
      <c r="G97" s="295">
        <f>G99</f>
        <v>19.430312750633238</v>
      </c>
      <c r="H97" s="295"/>
      <c r="I97" s="295">
        <f>SUM(I98:I100)</f>
        <v>99.99999999999999</v>
      </c>
    </row>
    <row r="98" spans="1:9" ht="12.75">
      <c r="A98" s="224"/>
      <c r="B98" s="165"/>
      <c r="C98" s="26"/>
      <c r="D98" s="26"/>
      <c r="E98" s="26"/>
      <c r="F98" s="26"/>
      <c r="G98" s="26"/>
      <c r="H98" s="26"/>
      <c r="I98" s="26"/>
    </row>
    <row r="99" spans="1:9" ht="12.75">
      <c r="A99" s="224"/>
      <c r="B99" s="229" t="s">
        <v>349</v>
      </c>
      <c r="C99" s="45">
        <f>'Competitività e sviluppo imp.'!D79</f>
        <v>60.5498962784217</v>
      </c>
      <c r="D99" s="26">
        <f>'Regolazione dei mercati'!C75</f>
        <v>5.319999999999999</v>
      </c>
      <c r="E99" s="26">
        <f>'Com. int.le e internaz. imp.'!C77</f>
        <v>14.699790970945056</v>
      </c>
      <c r="F99" s="26"/>
      <c r="G99" s="26">
        <f>'Serv. istituz. e gen.'!C78</f>
        <v>19.430312750633238</v>
      </c>
      <c r="H99" s="26"/>
      <c r="I99" s="26">
        <f>SUM(C99:H99)</f>
        <v>99.99999999999999</v>
      </c>
    </row>
    <row r="100" spans="1:9" ht="12.75">
      <c r="A100" s="224"/>
      <c r="B100" s="165"/>
      <c r="C100" s="26"/>
      <c r="D100" s="26"/>
      <c r="E100" s="26"/>
      <c r="F100" s="26"/>
      <c r="G100" s="26"/>
      <c r="H100" s="26"/>
      <c r="I100" s="26"/>
    </row>
    <row r="101" spans="1:9" ht="12.75">
      <c r="A101" s="224"/>
      <c r="B101" s="228" t="s">
        <v>21</v>
      </c>
      <c r="C101" s="295"/>
      <c r="D101" s="295"/>
      <c r="E101" s="295"/>
      <c r="F101" s="295"/>
      <c r="G101" s="295"/>
      <c r="H101" s="295"/>
      <c r="I101" s="295"/>
    </row>
    <row r="102" spans="1:9" ht="12.75">
      <c r="A102" s="224"/>
      <c r="B102" s="165"/>
      <c r="C102" s="26"/>
      <c r="D102" s="26"/>
      <c r="E102" s="26"/>
      <c r="F102" s="26"/>
      <c r="G102" s="26"/>
      <c r="H102" s="26"/>
      <c r="I102" s="26"/>
    </row>
    <row r="103" spans="1:9" ht="12.75">
      <c r="A103" s="224"/>
      <c r="B103" s="229" t="s">
        <v>42</v>
      </c>
      <c r="C103" s="45"/>
      <c r="D103" s="26"/>
      <c r="E103" s="26"/>
      <c r="F103" s="26"/>
      <c r="G103" s="26"/>
      <c r="H103" s="26"/>
      <c r="I103" s="26"/>
    </row>
    <row r="104" spans="1:9" ht="12.75">
      <c r="A104" s="224"/>
      <c r="B104" s="165"/>
      <c r="C104" s="26"/>
      <c r="D104" s="26"/>
      <c r="E104" s="26"/>
      <c r="F104" s="26"/>
      <c r="G104" s="26"/>
      <c r="H104" s="26"/>
      <c r="I104" s="26"/>
    </row>
    <row r="105" spans="1:9" ht="12.75">
      <c r="A105" s="224"/>
      <c r="B105" s="165"/>
      <c r="C105" s="26"/>
      <c r="D105" s="26"/>
      <c r="E105" s="26"/>
      <c r="F105" s="26"/>
      <c r="G105" s="26"/>
      <c r="H105" s="26"/>
      <c r="I105" s="26"/>
    </row>
    <row r="106" spans="1:9" ht="12.75">
      <c r="A106" s="225" t="s">
        <v>2</v>
      </c>
      <c r="B106" s="226" t="s">
        <v>23</v>
      </c>
      <c r="C106" s="25"/>
      <c r="D106" s="25"/>
      <c r="E106" s="25"/>
      <c r="F106" s="25"/>
      <c r="G106" s="25"/>
      <c r="H106" s="25"/>
      <c r="I106" s="26"/>
    </row>
    <row r="107" spans="1:9" ht="12.75">
      <c r="A107" s="224"/>
      <c r="B107" s="165"/>
      <c r="C107" s="26"/>
      <c r="D107" s="26"/>
      <c r="E107" s="26"/>
      <c r="F107" s="26"/>
      <c r="G107" s="26"/>
      <c r="H107" s="26"/>
      <c r="I107" s="26"/>
    </row>
    <row r="108" spans="1:9" ht="12.75">
      <c r="A108" s="224"/>
      <c r="B108" s="227" t="s">
        <v>24</v>
      </c>
      <c r="C108" s="295">
        <f>SUM(C109:C112)</f>
        <v>0</v>
      </c>
      <c r="D108" s="295">
        <f>SUM(D109:D112)</f>
        <v>0</v>
      </c>
      <c r="E108" s="295">
        <f>SUM(E109:E112)</f>
        <v>0</v>
      </c>
      <c r="F108" s="295">
        <f>SUM(F109:F112)</f>
        <v>0</v>
      </c>
      <c r="G108" s="295">
        <f>SUM(G109:G112)</f>
        <v>0</v>
      </c>
      <c r="H108" s="295"/>
      <c r="I108" s="292">
        <f>SUM(C108:H108)</f>
        <v>0</v>
      </c>
    </row>
    <row r="109" spans="1:9" ht="12.75">
      <c r="A109" s="224"/>
      <c r="B109" s="165"/>
      <c r="C109" s="26"/>
      <c r="D109" s="26"/>
      <c r="E109" s="26"/>
      <c r="F109" s="26"/>
      <c r="G109" s="26"/>
      <c r="H109" s="26"/>
      <c r="I109" s="26"/>
    </row>
    <row r="110" spans="1:9" ht="12.75">
      <c r="A110" s="224"/>
      <c r="B110" s="165" t="s">
        <v>25</v>
      </c>
      <c r="C110" s="26"/>
      <c r="D110" s="26"/>
      <c r="E110" s="26"/>
      <c r="F110" s="26"/>
      <c r="G110" s="26"/>
      <c r="H110" s="26"/>
      <c r="I110" s="26"/>
    </row>
    <row r="111" spans="1:9" ht="12.75">
      <c r="A111" s="224"/>
      <c r="B111" s="165"/>
      <c r="C111" s="26"/>
      <c r="D111" s="26"/>
      <c r="E111" s="26"/>
      <c r="F111" s="26"/>
      <c r="G111" s="26"/>
      <c r="H111" s="26"/>
      <c r="I111" s="26"/>
    </row>
    <row r="112" spans="1:9" ht="12.75">
      <c r="A112" s="224"/>
      <c r="B112" s="165" t="s">
        <v>34</v>
      </c>
      <c r="C112" s="26">
        <f>'Competitività e sviluppo imp.'!D92</f>
        <v>0</v>
      </c>
      <c r="D112" s="26">
        <f>'Regolazione dei mercati'!C88</f>
        <v>0</v>
      </c>
      <c r="E112" s="26">
        <f>'Com. int.le e internaz. imp.'!C90</f>
        <v>0</v>
      </c>
      <c r="F112" s="26">
        <f>'Serv. istituz. e gen.'!D91</f>
        <v>0</v>
      </c>
      <c r="G112" s="26">
        <f>'Serv. istituz. e gen.'!C91</f>
        <v>0</v>
      </c>
      <c r="H112" s="26"/>
      <c r="I112" s="26">
        <f>SUM(C112:H112)</f>
        <v>0</v>
      </c>
    </row>
    <row r="113" spans="1:9" ht="12.75">
      <c r="A113" s="224"/>
      <c r="B113" s="165"/>
      <c r="C113" s="26"/>
      <c r="D113" s="26"/>
      <c r="E113" s="26"/>
      <c r="F113" s="26"/>
      <c r="G113" s="26"/>
      <c r="H113" s="26"/>
      <c r="I113" s="26"/>
    </row>
    <row r="114" spans="1:9" ht="12.75">
      <c r="A114" s="224"/>
      <c r="B114" s="165"/>
      <c r="C114" s="164"/>
      <c r="D114" s="164"/>
      <c r="E114" s="164"/>
      <c r="F114" s="164"/>
      <c r="G114" s="164"/>
      <c r="H114" s="164"/>
      <c r="I114" s="26"/>
    </row>
    <row r="115" spans="1:9" ht="12.75">
      <c r="A115" s="161" t="s">
        <v>35</v>
      </c>
      <c r="B115" s="161"/>
      <c r="C115" s="161">
        <f>C108+C101+C87+C81+C76+C69+C97</f>
        <v>4767229.374460238</v>
      </c>
      <c r="D115" s="161">
        <f>D108+D101+D87+D81+D76+D69+D97</f>
        <v>470645.35430400004</v>
      </c>
      <c r="E115" s="161">
        <f>E108+E101+E87+E81+E76+E69+E97</f>
        <v>742434.5020873097</v>
      </c>
      <c r="F115" s="161">
        <f>F108+F101+F87+F81+F76+F69+F97</f>
        <v>98537.474636</v>
      </c>
      <c r="G115" s="161">
        <f>G108+G101+G87+G81+G76+G69+G97</f>
        <v>402911.98179187544</v>
      </c>
      <c r="H115" s="161">
        <f>H108+H101+H87+H81+H76+H69</f>
        <v>0</v>
      </c>
      <c r="I115" s="161">
        <f>I108+I101+I87+I81+I76+I69+I97</f>
        <v>6481758.687279424</v>
      </c>
    </row>
    <row r="116" ht="12.75">
      <c r="I116" s="10"/>
    </row>
    <row r="117" spans="2:10" ht="12.75">
      <c r="B117" s="20" t="s">
        <v>512</v>
      </c>
      <c r="J117" s="166"/>
    </row>
    <row r="118" spans="2:9" ht="12.75">
      <c r="B118" s="298"/>
      <c r="I118" s="166"/>
    </row>
    <row r="120" spans="7:9" ht="12.75">
      <c r="G120" s="166"/>
      <c r="I120" s="166"/>
    </row>
    <row r="121" ht="12.75">
      <c r="I121" s="166"/>
    </row>
    <row r="122" ht="12.75">
      <c r="G122" s="166"/>
    </row>
    <row r="123" spans="8:9" ht="12.75">
      <c r="H123" s="166"/>
      <c r="I123" s="166"/>
    </row>
    <row r="124" ht="12.75">
      <c r="I124" s="166"/>
    </row>
    <row r="125" ht="12.75">
      <c r="I125" s="166"/>
    </row>
  </sheetData>
  <sheetProtection/>
  <mergeCells count="10">
    <mergeCell ref="A61:I61"/>
    <mergeCell ref="C62:H62"/>
    <mergeCell ref="C63:F63"/>
    <mergeCell ref="F64:G64"/>
    <mergeCell ref="A1:I1"/>
    <mergeCell ref="A2:I2"/>
    <mergeCell ref="C3:H3"/>
    <mergeCell ref="C4:F4"/>
    <mergeCell ref="F5:G5"/>
    <mergeCell ref="A60:I60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B1">
      <pane ySplit="2" topLeftCell="A51" activePane="bottomLeft" state="frozen"/>
      <selection pane="topLeft" activeCell="D64" sqref="D64"/>
      <selection pane="bottomLeft" activeCell="C79" sqref="C79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27.7109375" style="27" customWidth="1"/>
    <col min="4" max="4" width="27.7109375" style="155" customWidth="1"/>
    <col min="6" max="6" width="12.8515625" style="0" bestFit="1" customWidth="1"/>
  </cols>
  <sheetData>
    <row r="1" spans="1:3" ht="12.75">
      <c r="A1" s="5"/>
      <c r="B1" s="650" t="s">
        <v>8</v>
      </c>
      <c r="C1" s="650"/>
    </row>
    <row r="2" spans="3:4" ht="12.75" customHeight="1">
      <c r="C2" s="7" t="s">
        <v>117</v>
      </c>
      <c r="D2" s="13" t="s">
        <v>117</v>
      </c>
    </row>
    <row r="3" spans="3:4" ht="38.25">
      <c r="C3" s="48" t="s">
        <v>120</v>
      </c>
      <c r="D3" s="50" t="s">
        <v>118</v>
      </c>
    </row>
    <row r="4" spans="3:4" ht="38.25">
      <c r="C4" s="48" t="s">
        <v>121</v>
      </c>
      <c r="D4" s="50" t="s">
        <v>119</v>
      </c>
    </row>
    <row r="5" spans="1:4" s="1" customFormat="1" ht="12.75">
      <c r="A5" s="3" t="s">
        <v>1</v>
      </c>
      <c r="B5" s="3" t="s">
        <v>0</v>
      </c>
      <c r="C5" s="36" t="s">
        <v>6</v>
      </c>
      <c r="D5" s="549" t="s">
        <v>6</v>
      </c>
    </row>
    <row r="6" spans="3:4" s="1" customFormat="1" ht="12.75">
      <c r="C6" s="37"/>
      <c r="D6" s="550"/>
    </row>
    <row r="7" spans="1:4" s="1" customFormat="1" ht="12.75">
      <c r="A7" s="464"/>
      <c r="B7" s="484" t="s">
        <v>0</v>
      </c>
      <c r="C7" s="462">
        <f>SUM(C8:C18)</f>
        <v>280004.7242940974</v>
      </c>
      <c r="D7" s="462">
        <f>SUM(D8:D18)</f>
        <v>78633.6054</v>
      </c>
    </row>
    <row r="8" spans="1:4" ht="12.75">
      <c r="A8" s="166"/>
      <c r="B8" s="166"/>
      <c r="C8" s="459"/>
      <c r="D8" s="551"/>
    </row>
    <row r="9" spans="1:6" ht="12.75">
      <c r="A9" s="166"/>
      <c r="B9" s="166" t="s">
        <v>26</v>
      </c>
      <c r="C9" s="459">
        <f>'Ripartizione per totale '!G5+'Ripartizione per totale '!G11+'Ripartizione per totale '!G7+'Ripartizione per totale '!G9</f>
        <v>280004.7242940974</v>
      </c>
      <c r="D9" s="552">
        <f>'Ripartizione per totale '!F7+'Ripartizione per totale '!F11</f>
        <v>78633.6054</v>
      </c>
      <c r="F9" s="24">
        <f>630005-C9</f>
        <v>350000.2757059026</v>
      </c>
    </row>
    <row r="10" spans="1:6" ht="12.75">
      <c r="A10" s="166"/>
      <c r="B10" s="166"/>
      <c r="C10" s="459"/>
      <c r="D10" s="551"/>
      <c r="F10" s="24"/>
    </row>
    <row r="11" spans="1:4" ht="12.75">
      <c r="A11" s="166"/>
      <c r="B11" s="166" t="s">
        <v>27</v>
      </c>
      <c r="C11" s="459"/>
      <c r="D11" s="551"/>
    </row>
    <row r="12" spans="1:4" ht="12.75">
      <c r="A12" s="166"/>
      <c r="B12" s="166"/>
      <c r="C12" s="459"/>
      <c r="D12" s="551"/>
    </row>
    <row r="13" spans="1:4" ht="12.75">
      <c r="A13" s="166"/>
      <c r="B13" s="166" t="s">
        <v>28</v>
      </c>
      <c r="C13" s="459"/>
      <c r="D13" s="551"/>
    </row>
    <row r="14" spans="1:4" ht="12.75">
      <c r="A14" s="166"/>
      <c r="B14" s="166"/>
      <c r="C14" s="459"/>
      <c r="D14" s="551"/>
    </row>
    <row r="15" spans="1:4" ht="12.75">
      <c r="A15" s="166"/>
      <c r="B15" s="166"/>
      <c r="C15" s="459"/>
      <c r="D15" s="551"/>
    </row>
    <row r="16" spans="1:4" ht="12.75">
      <c r="A16" s="166"/>
      <c r="B16" s="166"/>
      <c r="C16" s="459"/>
      <c r="D16" s="551"/>
    </row>
    <row r="17" spans="1:4" s="1" customFormat="1" ht="12.75">
      <c r="A17" s="464" t="s">
        <v>2</v>
      </c>
      <c r="B17" s="464" t="s">
        <v>3</v>
      </c>
      <c r="C17" s="465"/>
      <c r="D17" s="553"/>
    </row>
    <row r="18" spans="1:4" ht="12.75">
      <c r="A18" s="166"/>
      <c r="B18" s="166"/>
      <c r="C18" s="459"/>
      <c r="D18" s="551"/>
    </row>
    <row r="19" spans="1:4" ht="12.75">
      <c r="A19" s="166"/>
      <c r="B19" s="484" t="s">
        <v>4</v>
      </c>
      <c r="C19" s="462">
        <f>SUM(C20:C23)</f>
        <v>5422</v>
      </c>
      <c r="D19" s="462">
        <f>SUM(D20:D23)</f>
        <v>0</v>
      </c>
    </row>
    <row r="20" spans="1:4" ht="12.75">
      <c r="A20" s="166"/>
      <c r="B20" s="166"/>
      <c r="C20" s="459"/>
      <c r="D20" s="551"/>
    </row>
    <row r="21" spans="1:4" ht="12.75">
      <c r="A21" s="166"/>
      <c r="B21" s="166" t="s">
        <v>29</v>
      </c>
      <c r="C21" s="27">
        <f>'Ripartizione per totale '!G18</f>
        <v>5422</v>
      </c>
      <c r="D21" s="551"/>
    </row>
    <row r="22" spans="1:4" ht="12.75">
      <c r="A22" s="166"/>
      <c r="B22" s="166"/>
      <c r="C22" s="459"/>
      <c r="D22" s="551"/>
    </row>
    <row r="23" spans="1:4" ht="12.75">
      <c r="A23" s="166"/>
      <c r="B23" s="165"/>
      <c r="C23" s="459"/>
      <c r="D23" s="551"/>
    </row>
    <row r="24" spans="1:4" ht="12.75">
      <c r="A24" s="166"/>
      <c r="B24" s="472" t="s">
        <v>5</v>
      </c>
      <c r="C24" s="456">
        <f>SUM(C25:C28)</f>
        <v>19.430312750633238</v>
      </c>
      <c r="D24" s="462">
        <f>SUM(D25:D28)</f>
        <v>0</v>
      </c>
    </row>
    <row r="25" spans="1:4" ht="12.75">
      <c r="A25" s="166"/>
      <c r="B25" s="166"/>
      <c r="C25" s="459"/>
      <c r="D25" s="551"/>
    </row>
    <row r="26" spans="1:4" ht="12.75">
      <c r="A26" s="166"/>
      <c r="B26" s="166" t="s">
        <v>30</v>
      </c>
      <c r="C26" s="459">
        <f>'Ripartizione per totale '!G15+'Ripartizione per totale '!F15</f>
        <v>19.430312750633238</v>
      </c>
      <c r="D26" s="551"/>
    </row>
    <row r="27" spans="1:4" ht="12.75">
      <c r="A27" s="166"/>
      <c r="B27" s="166"/>
      <c r="C27" s="459"/>
      <c r="D27" s="551"/>
    </row>
    <row r="28" spans="1:4" ht="12.75">
      <c r="A28" s="166"/>
      <c r="B28" s="166"/>
      <c r="C28" s="459"/>
      <c r="D28" s="551"/>
    </row>
    <row r="29" spans="1:4" ht="12.75">
      <c r="A29" s="166"/>
      <c r="B29" s="472" t="s">
        <v>7</v>
      </c>
      <c r="C29" s="456">
        <f>SUM(C30:C35)</f>
        <v>32741</v>
      </c>
      <c r="D29" s="462">
        <f>SUM(D30:D35)</f>
        <v>0</v>
      </c>
    </row>
    <row r="30" spans="1:4" ht="12.75">
      <c r="A30" s="166"/>
      <c r="B30" s="166"/>
      <c r="C30" s="459"/>
      <c r="D30" s="551"/>
    </row>
    <row r="31" spans="1:4" ht="12.75">
      <c r="A31" s="166"/>
      <c r="B31" s="166" t="s">
        <v>31</v>
      </c>
      <c r="C31" s="459"/>
      <c r="D31" s="551"/>
    </row>
    <row r="32" spans="1:4" ht="12.75">
      <c r="A32" s="166"/>
      <c r="B32" s="166"/>
      <c r="C32" s="459"/>
      <c r="D32" s="551"/>
    </row>
    <row r="33" spans="1:4" ht="12.75">
      <c r="A33" s="166"/>
      <c r="B33" s="166" t="s">
        <v>32</v>
      </c>
      <c r="C33" s="459"/>
      <c r="D33" s="551"/>
    </row>
    <row r="34" spans="1:4" ht="12.75">
      <c r="A34" s="166"/>
      <c r="B34" s="166"/>
      <c r="C34" s="459"/>
      <c r="D34" s="551"/>
    </row>
    <row r="35" spans="1:4" ht="12.75">
      <c r="A35" s="166"/>
      <c r="B35" s="467" t="s">
        <v>67</v>
      </c>
      <c r="C35" s="459">
        <f>'Ripartizione per totale '!G12</f>
        <v>32741</v>
      </c>
      <c r="D35" s="551"/>
    </row>
    <row r="36" spans="1:4" ht="12.75">
      <c r="A36" s="166"/>
      <c r="B36" s="467"/>
      <c r="C36" s="26"/>
      <c r="D36" s="551"/>
    </row>
    <row r="37" spans="1:4" ht="12.75">
      <c r="A37" s="166"/>
      <c r="B37" s="485" t="s">
        <v>175</v>
      </c>
      <c r="C37" s="456">
        <f>SUM(C38:C39)</f>
        <v>0</v>
      </c>
      <c r="D37" s="462">
        <f>SUM(D38:D39)</f>
        <v>0</v>
      </c>
    </row>
    <row r="38" spans="1:4" ht="12.75">
      <c r="A38" s="166"/>
      <c r="B38" s="166"/>
      <c r="C38" s="26"/>
      <c r="D38" s="551"/>
    </row>
    <row r="39" spans="1:4" ht="12.75">
      <c r="A39" s="166"/>
      <c r="B39" s="467" t="s">
        <v>173</v>
      </c>
      <c r="C39" s="26">
        <f>'Ripartizione per totale '!G38</f>
        <v>0</v>
      </c>
      <c r="D39" s="551">
        <f>'Ripartizione per totale '!F38</f>
        <v>0</v>
      </c>
    </row>
    <row r="40" spans="1:4" ht="12.75">
      <c r="A40" s="166"/>
      <c r="B40" s="467"/>
      <c r="C40" s="26"/>
      <c r="D40" s="551"/>
    </row>
    <row r="41" spans="1:6" s="1" customFormat="1" ht="12.75">
      <c r="A41" s="468" t="s">
        <v>33</v>
      </c>
      <c r="B41" s="468"/>
      <c r="C41" s="461">
        <f>C29+C24+C19+C7+C37</f>
        <v>318187.154606848</v>
      </c>
      <c r="D41" s="554">
        <f>D29+D24+D19+D7+D37</f>
        <v>78633.6054</v>
      </c>
      <c r="F41" s="52">
        <f>D41+C41</f>
        <v>396820.760006848</v>
      </c>
    </row>
    <row r="42" spans="1:4" ht="12.75">
      <c r="A42" s="166"/>
      <c r="B42" s="166"/>
      <c r="C42" s="469"/>
      <c r="D42" s="555"/>
    </row>
    <row r="43" spans="1:4" ht="12.75">
      <c r="A43" s="651" t="s">
        <v>9</v>
      </c>
      <c r="B43" s="651"/>
      <c r="C43" s="651"/>
      <c r="D43" s="555"/>
    </row>
    <row r="44" spans="1:4" ht="12.75">
      <c r="A44" s="166"/>
      <c r="B44" s="166"/>
      <c r="C44" s="486" t="s">
        <v>134</v>
      </c>
      <c r="D44" s="556" t="s">
        <v>135</v>
      </c>
    </row>
    <row r="45" spans="1:4" ht="38.25">
      <c r="A45" s="166"/>
      <c r="B45" s="166"/>
      <c r="C45" s="470" t="s">
        <v>40</v>
      </c>
      <c r="D45" s="557" t="s">
        <v>80</v>
      </c>
    </row>
    <row r="46" spans="1:4" ht="12.75">
      <c r="A46" s="464" t="s">
        <v>2</v>
      </c>
      <c r="B46" s="464" t="s">
        <v>10</v>
      </c>
      <c r="C46" s="471" t="s">
        <v>6</v>
      </c>
      <c r="D46" s="558" t="s">
        <v>6</v>
      </c>
    </row>
    <row r="47" spans="1:4" ht="12.75">
      <c r="A47" s="166"/>
      <c r="B47" s="166"/>
      <c r="C47" s="459"/>
      <c r="D47" s="551"/>
    </row>
    <row r="48" spans="1:4" ht="12.75">
      <c r="A48" s="166"/>
      <c r="B48" s="228" t="s">
        <v>11</v>
      </c>
      <c r="C48" s="456">
        <f>SUM(C49:C54)</f>
        <v>246442.50636715256</v>
      </c>
      <c r="D48" s="456">
        <f>SUM(D49:D54)</f>
        <v>46537.474636</v>
      </c>
    </row>
    <row r="49" spans="1:4" ht="12.75">
      <c r="A49" s="166"/>
      <c r="B49" s="166"/>
      <c r="C49" s="459"/>
      <c r="D49" s="551"/>
    </row>
    <row r="50" spans="1:4" ht="12.75">
      <c r="A50" s="166"/>
      <c r="B50" s="166" t="s">
        <v>15</v>
      </c>
      <c r="C50" s="459">
        <f>('Ripartizione per totale '!G25+'Ripartizione per totale '!G28)*0.7</f>
        <v>172509.75445700678</v>
      </c>
      <c r="D50" s="551">
        <f>('Ripartizione per totale '!F28)*0.7</f>
        <v>32576.232245199997</v>
      </c>
    </row>
    <row r="51" spans="1:4" ht="12.75">
      <c r="A51" s="166"/>
      <c r="B51" s="166"/>
      <c r="C51" s="459"/>
      <c r="D51" s="551"/>
    </row>
    <row r="52" spans="1:4" ht="12.75">
      <c r="A52" s="166"/>
      <c r="B52" s="166" t="s">
        <v>14</v>
      </c>
      <c r="C52" s="459">
        <f>('Ripartizione per totale '!G25+'Ripartizione per totale '!G28)*0.3</f>
        <v>73932.75191014576</v>
      </c>
      <c r="D52" s="551">
        <f>('Ripartizione per totale '!F28)*0.3</f>
        <v>13961.2423908</v>
      </c>
    </row>
    <row r="53" spans="1:4" ht="12.75">
      <c r="A53" s="166"/>
      <c r="B53" s="166"/>
      <c r="C53" s="459"/>
      <c r="D53" s="551"/>
    </row>
    <row r="54" spans="1:4" ht="12.75">
      <c r="A54" s="166"/>
      <c r="B54" s="166"/>
      <c r="C54" s="459"/>
      <c r="D54" s="551"/>
    </row>
    <row r="55" spans="1:4" ht="12.75">
      <c r="A55" s="166"/>
      <c r="B55" s="228" t="s">
        <v>12</v>
      </c>
      <c r="C55" s="456">
        <f>SUM(C56:C59)</f>
        <v>13601.218925443267</v>
      </c>
      <c r="D55" s="456">
        <f>SUM(D56:D59)</f>
        <v>0</v>
      </c>
    </row>
    <row r="56" spans="1:4" ht="12.75">
      <c r="A56" s="166"/>
      <c r="B56" s="166"/>
      <c r="C56" s="459"/>
      <c r="D56" s="551"/>
    </row>
    <row r="57" spans="1:4" ht="12.75">
      <c r="A57" s="166"/>
      <c r="B57" s="166" t="s">
        <v>16</v>
      </c>
      <c r="C57" s="459">
        <f>'Ripartizione per totale '!G42</f>
        <v>13601.218925443267</v>
      </c>
      <c r="D57" s="551"/>
    </row>
    <row r="58" spans="1:4" ht="12.75">
      <c r="A58" s="166"/>
      <c r="B58" s="166"/>
      <c r="C58" s="459"/>
      <c r="D58" s="551"/>
    </row>
    <row r="59" spans="1:4" ht="12.75">
      <c r="A59" s="166"/>
      <c r="B59" s="166"/>
      <c r="C59" s="459"/>
      <c r="D59" s="551"/>
    </row>
    <row r="60" spans="1:6" ht="12.75">
      <c r="A60" s="166"/>
      <c r="B60" s="228" t="s">
        <v>13</v>
      </c>
      <c r="C60" s="456">
        <f>SUM(C61:C65)</f>
        <v>142848.826186529</v>
      </c>
      <c r="D60" s="456">
        <f>SUM(D61:D65)</f>
        <v>52000</v>
      </c>
      <c r="F60" s="24">
        <f>'[2]Personale'!$B$13+'[3]B1.1'!$D$10+'[3]B1.1'!$D$12+'[3]B1.1'!$D$11</f>
        <v>140093.576</v>
      </c>
    </row>
    <row r="61" spans="1:4" ht="12.75">
      <c r="A61" s="166"/>
      <c r="B61" s="166"/>
      <c r="C61" s="459"/>
      <c r="D61" s="551"/>
    </row>
    <row r="62" spans="1:6" ht="12.75">
      <c r="A62" s="166"/>
      <c r="B62" s="166" t="s">
        <v>17</v>
      </c>
      <c r="C62" s="459">
        <f>'Ripartizione per totale '!G33+'Ripartizione per totale '!G39</f>
        <v>136339.77299674193</v>
      </c>
      <c r="D62" s="551">
        <f>'Ripartizione per totale '!F39</f>
        <v>52000</v>
      </c>
      <c r="F62" t="s">
        <v>299</v>
      </c>
    </row>
    <row r="63" spans="1:4" ht="12.75">
      <c r="A63" s="166"/>
      <c r="B63" s="166"/>
      <c r="C63" s="459"/>
      <c r="D63" s="551"/>
    </row>
    <row r="64" spans="1:4" ht="12.75">
      <c r="A64" s="166"/>
      <c r="B64" s="166" t="s">
        <v>49</v>
      </c>
      <c r="C64" s="459">
        <f>'Ripartizione per totale '!G35+'Ripartizione per totale '!G36</f>
        <v>6509.053189787073</v>
      </c>
      <c r="D64" s="551"/>
    </row>
    <row r="65" spans="1:4" ht="12.75">
      <c r="A65" s="166"/>
      <c r="B65" s="166"/>
      <c r="C65" s="459"/>
      <c r="D65" s="551"/>
    </row>
    <row r="66" spans="1:4" ht="12.75">
      <c r="A66" s="166"/>
      <c r="B66" s="228" t="s">
        <v>0</v>
      </c>
      <c r="C66" s="456">
        <f>SUM(C67:C75)</f>
        <v>0</v>
      </c>
      <c r="D66" s="456">
        <f>SUM(D67:D75)</f>
        <v>0</v>
      </c>
    </row>
    <row r="67" spans="1:4" ht="12.75">
      <c r="A67" s="166"/>
      <c r="B67" s="166"/>
      <c r="C67" s="459"/>
      <c r="D67" s="551"/>
    </row>
    <row r="68" spans="1:4" ht="12.75">
      <c r="A68" s="166"/>
      <c r="B68" s="166" t="s">
        <v>18</v>
      </c>
      <c r="C68" s="459"/>
      <c r="D68" s="551"/>
    </row>
    <row r="69" spans="1:4" ht="12.75">
      <c r="A69" s="166"/>
      <c r="B69" s="166"/>
      <c r="C69" s="459"/>
      <c r="D69" s="551"/>
    </row>
    <row r="70" spans="1:4" ht="12.75">
      <c r="A70" s="166"/>
      <c r="B70" s="166" t="s">
        <v>19</v>
      </c>
      <c r="C70" s="459"/>
      <c r="D70" s="551"/>
    </row>
    <row r="71" spans="1:4" ht="12.75">
      <c r="A71" s="166"/>
      <c r="B71" s="166"/>
      <c r="C71" s="459"/>
      <c r="D71" s="551"/>
    </row>
    <row r="72" spans="1:4" ht="12.75">
      <c r="A72" s="166"/>
      <c r="B72" s="166" t="s">
        <v>20</v>
      </c>
      <c r="C72" s="459">
        <f>'[2]TOTALI'!$D$30</f>
        <v>0</v>
      </c>
      <c r="D72" s="551"/>
    </row>
    <row r="73" spans="1:4" ht="12.75">
      <c r="A73" s="166"/>
      <c r="B73" s="166"/>
      <c r="C73" s="459"/>
      <c r="D73" s="551"/>
    </row>
    <row r="74" spans="1:4" ht="12.75">
      <c r="A74" s="166"/>
      <c r="B74" s="467" t="s">
        <v>291</v>
      </c>
      <c r="C74" s="459"/>
      <c r="D74" s="551"/>
    </row>
    <row r="75" spans="1:4" ht="12.75">
      <c r="A75" s="166"/>
      <c r="B75" s="166"/>
      <c r="C75" s="459"/>
      <c r="D75" s="551"/>
    </row>
    <row r="76" spans="1:4" ht="12.75">
      <c r="A76" s="166"/>
      <c r="B76" s="472" t="s">
        <v>347</v>
      </c>
      <c r="C76" s="456">
        <f>SUM(C77:C79)</f>
        <v>19.430312750633238</v>
      </c>
      <c r="D76" s="456">
        <f>SUM(D77:D79)</f>
        <v>0</v>
      </c>
    </row>
    <row r="77" spans="1:4" ht="12.75">
      <c r="A77" s="166"/>
      <c r="B77" s="166"/>
      <c r="C77" s="483"/>
      <c r="D77" s="457"/>
    </row>
    <row r="78" spans="1:4" ht="12.75">
      <c r="A78" s="166"/>
      <c r="B78" s="166" t="s">
        <v>348</v>
      </c>
      <c r="C78" s="26">
        <f>'Ripartizione per totale '!G27</f>
        <v>19.430312750633238</v>
      </c>
      <c r="D78" s="457">
        <f>'Ripartizione per totale '!C43</f>
        <v>0</v>
      </c>
    </row>
    <row r="79" spans="1:4" ht="12.75">
      <c r="A79" s="166"/>
      <c r="B79" s="166"/>
      <c r="C79" s="164"/>
      <c r="D79" s="457"/>
    </row>
    <row r="80" spans="1:4" ht="12.75">
      <c r="A80" s="166"/>
      <c r="B80" s="228" t="s">
        <v>21</v>
      </c>
      <c r="C80" s="456">
        <f>SUM(C81:C86)</f>
        <v>0</v>
      </c>
      <c r="D80" s="456">
        <f>SUM(D81:D86)</f>
        <v>0</v>
      </c>
    </row>
    <row r="81" spans="1:4" ht="12.75">
      <c r="A81" s="166"/>
      <c r="B81" s="166"/>
      <c r="C81" s="459"/>
      <c r="D81" s="459"/>
    </row>
    <row r="82" spans="1:4" ht="12.75">
      <c r="A82" s="166"/>
      <c r="B82" s="166" t="s">
        <v>22</v>
      </c>
      <c r="C82" s="459"/>
      <c r="D82" s="551"/>
    </row>
    <row r="83" spans="1:4" ht="12.75">
      <c r="A83" s="166"/>
      <c r="B83" s="166"/>
      <c r="C83" s="459"/>
      <c r="D83" s="551"/>
    </row>
    <row r="84" spans="1:4" ht="12.75">
      <c r="A84" s="166"/>
      <c r="B84" s="166"/>
      <c r="C84" s="459"/>
      <c r="D84" s="551"/>
    </row>
    <row r="85" spans="1:4" ht="12.75">
      <c r="A85" s="464" t="s">
        <v>2</v>
      </c>
      <c r="B85" s="464" t="s">
        <v>23</v>
      </c>
      <c r="C85" s="465"/>
      <c r="D85" s="553"/>
    </row>
    <row r="86" spans="1:4" ht="12.75">
      <c r="A86" s="166"/>
      <c r="B86" s="166"/>
      <c r="C86" s="459"/>
      <c r="D86" s="551"/>
    </row>
    <row r="87" spans="1:4" ht="12.75">
      <c r="A87" s="166"/>
      <c r="B87" s="228" t="s">
        <v>24</v>
      </c>
      <c r="C87" s="456">
        <f>SUM(C88:C93)</f>
        <v>0</v>
      </c>
      <c r="D87" s="456">
        <f>SUM(D88:D93)</f>
        <v>0</v>
      </c>
    </row>
    <row r="88" spans="1:4" ht="12.75">
      <c r="A88" s="166"/>
      <c r="B88" s="166"/>
      <c r="C88" s="459"/>
      <c r="D88" s="551"/>
    </row>
    <row r="89" spans="1:4" ht="12.75">
      <c r="A89" s="166"/>
      <c r="B89" s="166" t="s">
        <v>25</v>
      </c>
      <c r="C89" s="459"/>
      <c r="D89" s="551"/>
    </row>
    <row r="90" spans="1:4" ht="12.75">
      <c r="A90" s="166"/>
      <c r="B90" s="166"/>
      <c r="C90" s="459"/>
      <c r="D90" s="551"/>
    </row>
    <row r="91" spans="1:4" ht="12.75">
      <c r="A91" s="166"/>
      <c r="B91" s="166" t="s">
        <v>34</v>
      </c>
      <c r="C91" s="459">
        <f>'Ripartizione per totale '!G38</f>
        <v>0</v>
      </c>
      <c r="D91" s="551">
        <f>'Ripartizione per totale '!F38</f>
        <v>0</v>
      </c>
    </row>
    <row r="92" spans="1:4" ht="12.75">
      <c r="A92" s="166"/>
      <c r="B92" s="166"/>
      <c r="C92" s="459"/>
      <c r="D92" s="551"/>
    </row>
    <row r="93" spans="1:4" ht="12.75">
      <c r="A93" s="166"/>
      <c r="B93" s="166"/>
      <c r="C93" s="459"/>
      <c r="D93" s="551"/>
    </row>
    <row r="94" spans="1:6" ht="12.75">
      <c r="A94" s="468" t="s">
        <v>35</v>
      </c>
      <c r="B94" s="481"/>
      <c r="C94" s="461">
        <f>C87+C80+C66+C60+C55+C48+C78</f>
        <v>402911.98179187544</v>
      </c>
      <c r="D94" s="554">
        <f>D87+D80+D66+D60+D55+D48</f>
        <v>98537.474636</v>
      </c>
      <c r="F94" s="24">
        <f>D94+C94</f>
        <v>501449.45642787544</v>
      </c>
    </row>
  </sheetData>
  <sheetProtection/>
  <mergeCells count="2">
    <mergeCell ref="B1:C1"/>
    <mergeCell ref="A43:C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pane ySplit="2" topLeftCell="A3" activePane="bottomLeft" state="frozen"/>
      <selection pane="topLeft" activeCell="B89" sqref="B89"/>
      <selection pane="bottomLeft" activeCell="C85" sqref="C85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25.8515625" style="27" customWidth="1"/>
  </cols>
  <sheetData>
    <row r="1" spans="1:3" ht="12.75">
      <c r="A1" s="5"/>
      <c r="B1" s="650"/>
      <c r="C1" s="650"/>
    </row>
    <row r="2" ht="12.75">
      <c r="C2" s="43"/>
    </row>
    <row r="3" ht="12.75">
      <c r="C3" s="51"/>
    </row>
    <row r="4" ht="12.75">
      <c r="C4" s="48"/>
    </row>
    <row r="5" spans="1:3" s="1" customFormat="1" ht="12.75">
      <c r="A5" s="3"/>
      <c r="B5" s="3"/>
      <c r="C5" s="36"/>
    </row>
    <row r="6" s="1" customFormat="1" ht="12.75">
      <c r="C6" s="37"/>
    </row>
    <row r="7" spans="2:3" s="1" customFormat="1" ht="12.75">
      <c r="B7" s="16"/>
      <c r="C7" s="156"/>
    </row>
    <row r="8" ht="12.75">
      <c r="C8" s="39"/>
    </row>
    <row r="9" ht="12.75">
      <c r="C9" s="39"/>
    </row>
    <row r="10" ht="12.75">
      <c r="C10" s="39"/>
    </row>
    <row r="11" ht="12.75">
      <c r="C11" s="39"/>
    </row>
    <row r="12" ht="12.75">
      <c r="C12" s="39"/>
    </row>
    <row r="13" ht="12.75">
      <c r="C13" s="39"/>
    </row>
    <row r="14" ht="12.75">
      <c r="C14" s="39"/>
    </row>
    <row r="15" ht="12.75">
      <c r="C15" s="39"/>
    </row>
    <row r="16" ht="12.75">
      <c r="C16" s="39"/>
    </row>
    <row r="17" s="1" customFormat="1" ht="12.75">
      <c r="C17" s="37"/>
    </row>
    <row r="18" ht="12.75">
      <c r="C18" s="39"/>
    </row>
    <row r="19" spans="2:3" ht="12.75">
      <c r="B19" s="16"/>
      <c r="C19" s="156"/>
    </row>
    <row r="20" ht="12.75">
      <c r="C20" s="39"/>
    </row>
    <row r="21" ht="12.75">
      <c r="C21" s="39"/>
    </row>
    <row r="22" ht="12.75">
      <c r="C22" s="39"/>
    </row>
    <row r="23" spans="2:3" ht="12.75">
      <c r="B23" s="4"/>
      <c r="C23" s="39"/>
    </row>
    <row r="24" spans="2:3" ht="12.75">
      <c r="B24" s="17"/>
      <c r="C24" s="157"/>
    </row>
    <row r="25" ht="12.75">
      <c r="C25" s="39"/>
    </row>
    <row r="26" spans="3:4" ht="12.75">
      <c r="C26" s="39"/>
      <c r="D26" s="159"/>
    </row>
    <row r="27" ht="12.75">
      <c r="C27" s="39"/>
    </row>
    <row r="28" ht="12.75">
      <c r="C28" s="39"/>
    </row>
    <row r="29" spans="2:3" ht="12.75">
      <c r="B29" s="17"/>
      <c r="C29" s="157"/>
    </row>
    <row r="30" ht="12.75">
      <c r="C30" s="39"/>
    </row>
    <row r="31" ht="12.75">
      <c r="C31" s="39"/>
    </row>
    <row r="32" ht="12.75">
      <c r="C32" s="39"/>
    </row>
    <row r="33" ht="12.75">
      <c r="C33" s="39"/>
    </row>
    <row r="34" ht="12.75">
      <c r="C34" s="39"/>
    </row>
    <row r="35" spans="1:3" s="1" customFormat="1" ht="12.75">
      <c r="A35" s="2"/>
      <c r="B35" s="11"/>
      <c r="C35" s="35"/>
    </row>
    <row r="37" spans="1:3" ht="12.75">
      <c r="A37" s="650"/>
      <c r="B37" s="650"/>
      <c r="C37" s="650"/>
    </row>
    <row r="39" ht="12.75">
      <c r="C39" s="43"/>
    </row>
    <row r="40" spans="1:3" ht="12.75">
      <c r="A40" s="1"/>
      <c r="B40" s="1"/>
      <c r="C40" s="36"/>
    </row>
    <row r="41" ht="12.75">
      <c r="C41" s="39"/>
    </row>
    <row r="42" spans="2:3" ht="12.75">
      <c r="B42" s="17"/>
      <c r="C42" s="157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spans="2:3" ht="12.75">
      <c r="B49" s="17"/>
      <c r="C49" s="157"/>
    </row>
    <row r="50" ht="12.75">
      <c r="C50" s="39"/>
    </row>
    <row r="51" ht="12.75">
      <c r="C51" s="39"/>
    </row>
    <row r="52" ht="12.75">
      <c r="C52" s="39"/>
    </row>
    <row r="53" ht="12.75">
      <c r="C53" s="39"/>
    </row>
    <row r="54" spans="2:3" ht="12.75">
      <c r="B54" s="17"/>
      <c r="C54" s="157"/>
    </row>
    <row r="55" ht="12.75">
      <c r="C55" s="39"/>
    </row>
    <row r="56" ht="12.75">
      <c r="C56" s="39"/>
    </row>
    <row r="57" ht="12.75">
      <c r="C57" s="39"/>
    </row>
    <row r="58" ht="12.75">
      <c r="C58" s="39"/>
    </row>
    <row r="59" spans="2:3" ht="12.75">
      <c r="B59" s="17"/>
      <c r="C59" s="157"/>
    </row>
    <row r="60" ht="12.75">
      <c r="C60" s="39"/>
    </row>
    <row r="61" ht="12.75">
      <c r="C61" s="39"/>
    </row>
    <row r="62" ht="12.75">
      <c r="C62" s="39"/>
    </row>
    <row r="63" ht="12.75">
      <c r="C63" s="39"/>
    </row>
    <row r="64" ht="12.75">
      <c r="C64" s="39"/>
    </row>
    <row r="65" ht="12.75">
      <c r="C65" s="39"/>
    </row>
    <row r="66" ht="12.75">
      <c r="C66" s="39"/>
    </row>
    <row r="67" ht="12.75">
      <c r="C67" s="39"/>
    </row>
    <row r="68" spans="2:3" ht="12.75">
      <c r="B68" s="17"/>
      <c r="C68" s="157"/>
    </row>
    <row r="69" ht="12.75">
      <c r="C69" s="39"/>
    </row>
    <row r="70" ht="12.75">
      <c r="C70" s="39"/>
    </row>
    <row r="71" ht="12.75">
      <c r="C71" s="39"/>
    </row>
    <row r="72" ht="12.75">
      <c r="C72" s="39"/>
    </row>
    <row r="73" spans="1:3" ht="12.75">
      <c r="A73" s="1"/>
      <c r="B73" s="1"/>
      <c r="C73" s="37"/>
    </row>
    <row r="74" ht="12.75">
      <c r="C74" s="39"/>
    </row>
    <row r="75" spans="2:3" ht="12.75">
      <c r="B75" s="17"/>
      <c r="C75" s="157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spans="1:3" ht="12.75">
      <c r="A82" s="2"/>
      <c r="B82" s="11"/>
      <c r="C82" s="35"/>
    </row>
  </sheetData>
  <sheetProtection/>
  <mergeCells count="2">
    <mergeCell ref="B1:C1"/>
    <mergeCell ref="A37:C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pane ySplit="2" topLeftCell="A3" activePane="bottomLeft" state="frozen"/>
      <selection pane="topLeft" activeCell="G80" sqref="G80"/>
      <selection pane="bottomLeft" activeCell="C4" sqref="C4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25.8515625" style="27" customWidth="1"/>
    <col min="4" max="4" width="25.8515625" style="0" customWidth="1"/>
  </cols>
  <sheetData>
    <row r="1" spans="1:3" ht="12.75">
      <c r="A1" s="5"/>
      <c r="B1" s="650" t="s">
        <v>8</v>
      </c>
      <c r="C1" s="650"/>
    </row>
    <row r="2" spans="3:4" ht="12.75">
      <c r="C2" s="6" t="s">
        <v>122</v>
      </c>
      <c r="D2" s="13"/>
    </row>
    <row r="3" spans="3:4" ht="25.5">
      <c r="C3" s="49" t="s">
        <v>123</v>
      </c>
      <c r="D3" s="50" t="s">
        <v>124</v>
      </c>
    </row>
    <row r="4" spans="3:4" ht="38.25">
      <c r="C4" s="48" t="s">
        <v>119</v>
      </c>
      <c r="D4" s="48" t="s">
        <v>121</v>
      </c>
    </row>
    <row r="5" spans="1:4" s="1" customFormat="1" ht="12.75">
      <c r="A5" s="3" t="s">
        <v>1</v>
      </c>
      <c r="B5" s="3" t="s">
        <v>0</v>
      </c>
      <c r="C5" s="36" t="s">
        <v>6</v>
      </c>
      <c r="D5" s="15" t="s">
        <v>6</v>
      </c>
    </row>
    <row r="6" spans="3:4" s="1" customFormat="1" ht="12.75">
      <c r="C6" s="37"/>
      <c r="D6" s="8"/>
    </row>
    <row r="7" spans="2:4" s="1" customFormat="1" ht="12.75">
      <c r="B7" s="16" t="s">
        <v>0</v>
      </c>
      <c r="C7" s="38"/>
      <c r="D7" s="18"/>
    </row>
    <row r="8" spans="3:4" ht="12.75">
      <c r="C8" s="39"/>
      <c r="D8" s="9"/>
    </row>
    <row r="9" spans="2:4" ht="12.75">
      <c r="B9" t="s">
        <v>26</v>
      </c>
      <c r="C9" s="39"/>
      <c r="D9" s="9"/>
    </row>
    <row r="10" spans="3:4" ht="12.75">
      <c r="C10" s="39"/>
      <c r="D10" s="9"/>
    </row>
    <row r="11" spans="2:4" ht="12.75">
      <c r="B11" t="s">
        <v>27</v>
      </c>
      <c r="C11" s="39"/>
      <c r="D11" s="9"/>
    </row>
    <row r="12" spans="3:4" ht="12.75">
      <c r="C12" s="39"/>
      <c r="D12" s="9"/>
    </row>
    <row r="13" spans="2:4" ht="12.75">
      <c r="B13" t="s">
        <v>28</v>
      </c>
      <c r="C13" s="39"/>
      <c r="D13" s="9"/>
    </row>
    <row r="14" spans="3:4" ht="12.75">
      <c r="C14" s="39"/>
      <c r="D14" s="9"/>
    </row>
    <row r="15" spans="3:4" ht="12.75">
      <c r="C15" s="39"/>
      <c r="D15" s="9"/>
    </row>
    <row r="16" spans="3:4" ht="12.75">
      <c r="C16" s="39"/>
      <c r="D16" s="9"/>
    </row>
    <row r="17" spans="1:4" s="1" customFormat="1" ht="12.75">
      <c r="A17" s="1" t="s">
        <v>2</v>
      </c>
      <c r="B17" s="1" t="s">
        <v>3</v>
      </c>
      <c r="C17" s="37"/>
      <c r="D17" s="8"/>
    </row>
    <row r="18" spans="3:4" ht="12.75">
      <c r="C18" s="39"/>
      <c r="D18" s="9"/>
    </row>
    <row r="19" spans="2:4" ht="12.75">
      <c r="B19" s="16" t="s">
        <v>4</v>
      </c>
      <c r="C19" s="38">
        <f>SUM(C20:C23)</f>
        <v>0</v>
      </c>
      <c r="D19" s="18"/>
    </row>
    <row r="20" spans="3:4" ht="12.75">
      <c r="C20" s="39"/>
      <c r="D20" s="9"/>
    </row>
    <row r="21" spans="2:4" ht="12.75">
      <c r="B21" t="s">
        <v>29</v>
      </c>
      <c r="C21" s="39"/>
      <c r="D21" s="9"/>
    </row>
    <row r="22" spans="3:4" ht="12.75">
      <c r="C22" s="39"/>
      <c r="D22" s="9"/>
    </row>
    <row r="23" spans="2:4" ht="12.75">
      <c r="B23" s="4"/>
      <c r="C23" s="39"/>
      <c r="D23" s="9"/>
    </row>
    <row r="24" spans="2:4" ht="12.75">
      <c r="B24" s="17" t="s">
        <v>5</v>
      </c>
      <c r="C24" s="40">
        <f>SUM(C25:C28)</f>
        <v>0</v>
      </c>
      <c r="D24" s="19"/>
    </row>
    <row r="25" spans="3:4" ht="12.75">
      <c r="C25" s="39"/>
      <c r="D25" s="9"/>
    </row>
    <row r="26" spans="2:4" ht="12.75">
      <c r="B26" t="s">
        <v>30</v>
      </c>
      <c r="C26" s="39">
        <f>'Ripartizione per totale '!H15</f>
        <v>0</v>
      </c>
      <c r="D26" s="9"/>
    </row>
    <row r="27" spans="3:4" ht="12.75">
      <c r="C27" s="39"/>
      <c r="D27" s="9"/>
    </row>
    <row r="28" spans="3:4" ht="12.75">
      <c r="C28" s="39"/>
      <c r="D28" s="9"/>
    </row>
    <row r="29" spans="2:4" ht="12.75">
      <c r="B29" s="17" t="s">
        <v>7</v>
      </c>
      <c r="C29" s="40">
        <f>SUM(C30:C34)</f>
        <v>0</v>
      </c>
      <c r="D29" s="19"/>
    </row>
    <row r="30" spans="3:4" ht="12.75">
      <c r="C30" s="39"/>
      <c r="D30" s="9"/>
    </row>
    <row r="31" spans="2:4" ht="12.75">
      <c r="B31" t="s">
        <v>31</v>
      </c>
      <c r="C31" s="39"/>
      <c r="D31" s="9"/>
    </row>
    <row r="32" spans="3:4" ht="12.75">
      <c r="C32" s="39"/>
      <c r="D32" s="9"/>
    </row>
    <row r="33" spans="2:4" ht="12.75">
      <c r="B33" t="s">
        <v>32</v>
      </c>
      <c r="C33" s="39"/>
      <c r="D33" s="9"/>
    </row>
    <row r="34" spans="3:4" ht="12.75">
      <c r="C34" s="39"/>
      <c r="D34" s="9"/>
    </row>
    <row r="35" spans="1:4" s="1" customFormat="1" ht="12.75">
      <c r="A35" s="2" t="s">
        <v>33</v>
      </c>
      <c r="B35" s="11"/>
      <c r="C35" s="35">
        <f>C29+C24+C19+C7</f>
        <v>0</v>
      </c>
      <c r="D35" s="2"/>
    </row>
    <row r="37" spans="1:3" ht="12.75">
      <c r="A37" s="650" t="s">
        <v>9</v>
      </c>
      <c r="B37" s="650"/>
      <c r="C37" s="650"/>
    </row>
    <row r="39" spans="3:4" ht="12.75">
      <c r="C39" s="43" t="s">
        <v>41</v>
      </c>
      <c r="D39" s="13" t="s">
        <v>41</v>
      </c>
    </row>
    <row r="40" spans="1:4" ht="12.75">
      <c r="A40" s="1" t="s">
        <v>2</v>
      </c>
      <c r="B40" s="1" t="s">
        <v>10</v>
      </c>
      <c r="C40" s="36" t="s">
        <v>6</v>
      </c>
      <c r="D40" s="15" t="s">
        <v>6</v>
      </c>
    </row>
    <row r="41" spans="3:4" ht="12.75">
      <c r="C41" s="39"/>
      <c r="D41" s="9"/>
    </row>
    <row r="42" spans="2:4" ht="12.75">
      <c r="B42" s="17" t="s">
        <v>11</v>
      </c>
      <c r="C42" s="40">
        <f>SUM(C43:C48)</f>
        <v>0</v>
      </c>
      <c r="D42" s="19"/>
    </row>
    <row r="43" spans="3:4" ht="12.75">
      <c r="C43" s="39"/>
      <c r="D43" s="9"/>
    </row>
    <row r="44" spans="2:4" ht="12.75">
      <c r="B44" t="s">
        <v>15</v>
      </c>
      <c r="C44" s="39"/>
      <c r="D44" s="9"/>
    </row>
    <row r="45" spans="3:4" ht="12.75">
      <c r="C45" s="39"/>
      <c r="D45" s="9"/>
    </row>
    <row r="46" spans="2:4" ht="12.75">
      <c r="B46" t="s">
        <v>14</v>
      </c>
      <c r="C46" s="39"/>
      <c r="D46" s="9"/>
    </row>
    <row r="47" spans="3:4" ht="12.75">
      <c r="C47" s="39"/>
      <c r="D47" s="9"/>
    </row>
    <row r="48" spans="3:4" ht="12.75">
      <c r="C48" s="39"/>
      <c r="D48" s="9"/>
    </row>
    <row r="49" spans="2:4" ht="12.75">
      <c r="B49" s="17" t="s">
        <v>12</v>
      </c>
      <c r="C49" s="40">
        <f>SUM(C50:C53)</f>
        <v>0</v>
      </c>
      <c r="D49" s="19"/>
    </row>
    <row r="50" spans="3:4" ht="12.75">
      <c r="C50" s="39"/>
      <c r="D50" s="9"/>
    </row>
    <row r="51" spans="2:4" ht="12.75">
      <c r="B51" t="s">
        <v>16</v>
      </c>
      <c r="C51" s="39"/>
      <c r="D51" s="9"/>
    </row>
    <row r="52" spans="3:4" ht="12.75">
      <c r="C52" s="39"/>
      <c r="D52" s="9"/>
    </row>
    <row r="53" spans="3:4" ht="12.75">
      <c r="C53" s="39"/>
      <c r="D53" s="9"/>
    </row>
    <row r="54" spans="2:4" ht="12.75">
      <c r="B54" s="17" t="s">
        <v>13</v>
      </c>
      <c r="C54" s="40">
        <f>SUM(C55:C58)</f>
        <v>0</v>
      </c>
      <c r="D54" s="19"/>
    </row>
    <row r="55" spans="3:4" ht="12.75">
      <c r="C55" s="39"/>
      <c r="D55" s="9"/>
    </row>
    <row r="56" spans="2:4" ht="12.75">
      <c r="B56" t="s">
        <v>17</v>
      </c>
      <c r="C56" s="39"/>
      <c r="D56" s="9"/>
    </row>
    <row r="57" spans="3:4" ht="12.75">
      <c r="C57" s="39"/>
      <c r="D57" s="9"/>
    </row>
    <row r="58" spans="3:4" ht="12.75">
      <c r="C58" s="39"/>
      <c r="D58" s="9"/>
    </row>
    <row r="59" spans="2:4" ht="12.75">
      <c r="B59" s="17" t="s">
        <v>0</v>
      </c>
      <c r="C59" s="40"/>
      <c r="D59" s="19"/>
    </row>
    <row r="60" spans="3:4" ht="12.75">
      <c r="C60" s="39"/>
      <c r="D60" s="9"/>
    </row>
    <row r="61" spans="2:4" ht="12.75">
      <c r="B61" t="s">
        <v>18</v>
      </c>
      <c r="C61" s="39"/>
      <c r="D61" s="9"/>
    </row>
    <row r="62" spans="3:4" ht="12.75">
      <c r="C62" s="39"/>
      <c r="D62" s="9"/>
    </row>
    <row r="63" spans="2:4" ht="12.75">
      <c r="B63" t="s">
        <v>19</v>
      </c>
      <c r="C63" s="39"/>
      <c r="D63" s="9"/>
    </row>
    <row r="64" spans="3:4" ht="12.75">
      <c r="C64" s="39"/>
      <c r="D64" s="9"/>
    </row>
    <row r="65" spans="2:4" ht="12.75">
      <c r="B65" t="s">
        <v>20</v>
      </c>
      <c r="C65" s="39"/>
      <c r="D65" s="9"/>
    </row>
    <row r="66" spans="3:4" ht="12.75">
      <c r="C66" s="39"/>
      <c r="D66" s="9"/>
    </row>
    <row r="67" spans="3:4" ht="12.75">
      <c r="C67" s="39"/>
      <c r="D67" s="9"/>
    </row>
    <row r="68" spans="2:4" ht="12.75">
      <c r="B68" s="17" t="s">
        <v>21</v>
      </c>
      <c r="C68" s="40">
        <f>SUM(C69:C74)</f>
        <v>0</v>
      </c>
      <c r="D68" s="19"/>
    </row>
    <row r="69" spans="3:4" ht="12.75">
      <c r="C69" s="39"/>
      <c r="D69" s="9"/>
    </row>
    <row r="70" spans="2:4" ht="12.75">
      <c r="B70" t="s">
        <v>22</v>
      </c>
      <c r="C70" s="39"/>
      <c r="D70" s="9"/>
    </row>
    <row r="71" spans="3:4" ht="12.75">
      <c r="C71" s="39"/>
      <c r="D71" s="9"/>
    </row>
    <row r="72" spans="3:4" ht="12.75">
      <c r="C72" s="39"/>
      <c r="D72" s="9"/>
    </row>
    <row r="73" spans="1:4" ht="12.75">
      <c r="A73" s="1" t="s">
        <v>2</v>
      </c>
      <c r="B73" s="1" t="s">
        <v>23</v>
      </c>
      <c r="C73" s="37"/>
      <c r="D73" s="8"/>
    </row>
    <row r="74" spans="3:4" ht="12.75">
      <c r="C74" s="39"/>
      <c r="D74" s="9"/>
    </row>
    <row r="75" spans="2:4" ht="12.75">
      <c r="B75" s="17" t="s">
        <v>24</v>
      </c>
      <c r="C75" s="40">
        <f>SUM(C76:C81)</f>
        <v>0</v>
      </c>
      <c r="D75" s="19"/>
    </row>
    <row r="76" spans="3:4" ht="12.75">
      <c r="C76" s="39"/>
      <c r="D76" s="9"/>
    </row>
    <row r="77" spans="2:4" ht="12.75">
      <c r="B77" t="s">
        <v>25</v>
      </c>
      <c r="C77" s="39"/>
      <c r="D77" s="9"/>
    </row>
    <row r="78" spans="3:4" ht="12.75">
      <c r="C78" s="39"/>
      <c r="D78" s="9"/>
    </row>
    <row r="79" spans="2:4" ht="12.75">
      <c r="B79" t="s">
        <v>34</v>
      </c>
      <c r="C79" s="39"/>
      <c r="D79" s="9"/>
    </row>
    <row r="80" spans="3:4" ht="12.75">
      <c r="C80" s="39"/>
      <c r="D80" s="9"/>
    </row>
    <row r="81" spans="3:4" ht="12.75">
      <c r="C81" s="39"/>
      <c r="D81" s="9"/>
    </row>
    <row r="82" spans="1:4" ht="12.75">
      <c r="A82" s="2" t="s">
        <v>35</v>
      </c>
      <c r="B82" s="11"/>
      <c r="C82" s="35">
        <f>C75+C68+C59+C54+C49+C42</f>
        <v>0</v>
      </c>
      <c r="D82" s="2"/>
    </row>
  </sheetData>
  <sheetProtection/>
  <mergeCells count="2">
    <mergeCell ref="B1:C1"/>
    <mergeCell ref="A37:C3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zoomScalePageLayoutView="0" workbookViewId="0" topLeftCell="A1">
      <selection activeCell="A27" sqref="A27"/>
    </sheetView>
  </sheetViews>
  <sheetFormatPr defaultColWidth="9.140625" defaultRowHeight="12.75"/>
  <cols>
    <col min="3" max="3" width="12.8515625" style="0" bestFit="1" customWidth="1"/>
  </cols>
  <sheetData>
    <row r="2" spans="1:3" ht="12.75">
      <c r="A2" s="20" t="s">
        <v>446</v>
      </c>
      <c r="C2" s="27"/>
    </row>
    <row r="3" spans="1:3" ht="12.75">
      <c r="A3" s="20"/>
      <c r="C3" s="27"/>
    </row>
    <row r="4" spans="1:4" ht="12.75">
      <c r="A4" s="20" t="s">
        <v>72</v>
      </c>
      <c r="C4" s="27" t="s">
        <v>448</v>
      </c>
      <c r="D4">
        <v>286251.5</v>
      </c>
    </row>
    <row r="5" spans="1:4" ht="12.75">
      <c r="A5" s="20"/>
      <c r="C5" s="27" t="s">
        <v>310</v>
      </c>
      <c r="D5">
        <v>203855</v>
      </c>
    </row>
    <row r="6" spans="1:4" ht="12.75">
      <c r="A6" s="20"/>
      <c r="C6" s="27" t="s">
        <v>383</v>
      </c>
      <c r="D6">
        <v>245550</v>
      </c>
    </row>
    <row r="7" spans="1:3" ht="12.75">
      <c r="A7" s="20"/>
      <c r="C7" s="27"/>
    </row>
    <row r="8" spans="1:3" ht="12.75">
      <c r="A8" s="20"/>
      <c r="C8" s="27"/>
    </row>
    <row r="9" spans="1:3" ht="12.75">
      <c r="A9" s="20"/>
      <c r="C9" s="27"/>
    </row>
    <row r="11" spans="1:2" ht="12.75">
      <c r="A11" s="20" t="s">
        <v>436</v>
      </c>
      <c r="B11" t="s">
        <v>447</v>
      </c>
    </row>
    <row r="12" ht="12.75">
      <c r="A12" s="20"/>
    </row>
    <row r="13" spans="1:4" ht="12.75">
      <c r="A13" s="20" t="s">
        <v>72</v>
      </c>
      <c r="C13" t="s">
        <v>310</v>
      </c>
      <c r="D13">
        <v>29000</v>
      </c>
    </row>
    <row r="14" spans="1:4" ht="12.75">
      <c r="A14" s="20"/>
      <c r="C14" t="s">
        <v>448</v>
      </c>
      <c r="D14">
        <v>11500</v>
      </c>
    </row>
    <row r="15" ht="12.75">
      <c r="A15" s="20"/>
    </row>
    <row r="16" spans="1:4" ht="12.75">
      <c r="A16" s="20" t="s">
        <v>73</v>
      </c>
      <c r="C16" t="s">
        <v>310</v>
      </c>
      <c r="D16">
        <v>29000</v>
      </c>
    </row>
    <row r="17" spans="1:4" ht="12.75">
      <c r="A17" s="20"/>
      <c r="C17" t="s">
        <v>448</v>
      </c>
      <c r="D17">
        <v>11500</v>
      </c>
    </row>
    <row r="18" ht="12.75">
      <c r="A18" s="20"/>
    </row>
    <row r="19" spans="1:2" ht="12.75">
      <c r="A19" s="20" t="s">
        <v>436</v>
      </c>
      <c r="B19">
        <v>2019</v>
      </c>
    </row>
    <row r="20" ht="12.75">
      <c r="A20" s="20"/>
    </row>
    <row r="21" spans="1:4" ht="12.75">
      <c r="A21" s="20" t="s">
        <v>72</v>
      </c>
      <c r="C21" t="s">
        <v>310</v>
      </c>
      <c r="D21">
        <v>127023.54</v>
      </c>
    </row>
    <row r="22" spans="1:4" ht="12.75">
      <c r="A22" s="20"/>
      <c r="C22" t="s">
        <v>448</v>
      </c>
      <c r="D22">
        <v>17964.45</v>
      </c>
    </row>
    <row r="23" ht="12.75">
      <c r="A23" s="20"/>
    </row>
    <row r="24" spans="1:4" ht="10.5" customHeight="1">
      <c r="A24" s="20" t="s">
        <v>73</v>
      </c>
      <c r="C24" t="s">
        <v>310</v>
      </c>
      <c r="D24">
        <f>D21</f>
        <v>127023.54</v>
      </c>
    </row>
    <row r="25" spans="3:4" ht="12.75">
      <c r="C25" t="s">
        <v>448</v>
      </c>
      <c r="D25">
        <f>D22</f>
        <v>17964.45</v>
      </c>
    </row>
    <row r="27" spans="1:5" ht="12.75">
      <c r="A27" s="20" t="s">
        <v>437</v>
      </c>
      <c r="C27" s="27">
        <f>411045+885503</f>
        <v>1296548</v>
      </c>
      <c r="D27" s="20" t="s">
        <v>438</v>
      </c>
      <c r="E27" s="20" t="s">
        <v>72</v>
      </c>
    </row>
    <row r="28" ht="12.75">
      <c r="C28" s="27"/>
    </row>
    <row r="29" spans="1:5" ht="12.75">
      <c r="A29" s="20" t="s">
        <v>439</v>
      </c>
      <c r="C29" s="27">
        <v>2750</v>
      </c>
      <c r="D29" s="20" t="s">
        <v>440</v>
      </c>
      <c r="E29" s="20" t="s">
        <v>72</v>
      </c>
    </row>
    <row r="30" ht="12.75">
      <c r="C30" s="27"/>
    </row>
    <row r="31" spans="1:5" ht="12.75">
      <c r="A31" s="20" t="s">
        <v>441</v>
      </c>
      <c r="C31" s="27">
        <v>114494</v>
      </c>
      <c r="D31" s="20" t="s">
        <v>442</v>
      </c>
      <c r="E31" s="20" t="s">
        <v>72</v>
      </c>
    </row>
    <row r="32" ht="12.75">
      <c r="C32" s="27"/>
    </row>
    <row r="33" spans="1:5" ht="12.75">
      <c r="A33" s="20" t="s">
        <v>443</v>
      </c>
      <c r="C33" s="27">
        <f>119400+140000</f>
        <v>259400</v>
      </c>
      <c r="D33" s="20" t="s">
        <v>442</v>
      </c>
      <c r="E33" s="20" t="s">
        <v>72</v>
      </c>
    </row>
    <row r="34" ht="12.75">
      <c r="C34" s="27"/>
    </row>
    <row r="35" spans="1:5" ht="12.75">
      <c r="A35" s="20" t="s">
        <v>444</v>
      </c>
      <c r="C35" s="27">
        <v>153000</v>
      </c>
      <c r="D35" s="20" t="s">
        <v>442</v>
      </c>
      <c r="E35" s="20" t="s">
        <v>445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9.140625" style="0" customWidth="1"/>
    <col min="2" max="3" width="14.00390625" style="0" bestFit="1" customWidth="1"/>
    <col min="4" max="4" width="38.140625" style="0" bestFit="1" customWidth="1"/>
    <col min="5" max="5" width="12.8515625" style="0" bestFit="1" customWidth="1"/>
    <col min="6" max="6" width="11.28125" style="0" bestFit="1" customWidth="1"/>
    <col min="7" max="7" width="13.00390625" style="0" bestFit="1" customWidth="1"/>
    <col min="8" max="8" width="12.8515625" style="0" bestFit="1" customWidth="1"/>
    <col min="9" max="9" width="11.28125" style="0" bestFit="1" customWidth="1"/>
    <col min="10" max="11" width="12.8515625" style="0" bestFit="1" customWidth="1"/>
    <col min="13" max="13" width="13.00390625" style="0" bestFit="1" customWidth="1"/>
  </cols>
  <sheetData>
    <row r="2" ht="12.75">
      <c r="A2" s="20" t="s">
        <v>143</v>
      </c>
    </row>
    <row r="3" spans="4:9" ht="25.5">
      <c r="D3" s="20" t="s">
        <v>293</v>
      </c>
      <c r="E3" s="20" t="s">
        <v>148</v>
      </c>
      <c r="F3" s="20" t="s">
        <v>149</v>
      </c>
      <c r="G3" s="20" t="s">
        <v>294</v>
      </c>
      <c r="H3" s="20" t="s">
        <v>67</v>
      </c>
      <c r="I3" s="273" t="s">
        <v>346</v>
      </c>
    </row>
    <row r="4" spans="1:12" ht="12.75">
      <c r="A4" s="1" t="s">
        <v>144</v>
      </c>
      <c r="B4" s="217">
        <f>SUM(D4:L4)</f>
        <v>4088453.5053233267</v>
      </c>
      <c r="D4" s="219">
        <f>'[7]Foglio1'!$E$295+'[7]Foglio1'!$E$296+'[7]Foglio1'!$E$297+'[7]Foglio1'!$E$298+100000</f>
        <v>3244646.13</v>
      </c>
      <c r="E4" s="219">
        <f>'Ripartizione per totale '!C11</f>
        <v>823746.8254270485</v>
      </c>
      <c r="F4" s="219">
        <f>'Ripartizione per totale '!C15</f>
        <v>60.5498962784217</v>
      </c>
      <c r="G4" s="219">
        <f>'Ripartizione per totale '!C22</f>
        <v>0</v>
      </c>
      <c r="H4" s="27"/>
      <c r="I4" s="219">
        <v>20000</v>
      </c>
      <c r="K4" s="24"/>
      <c r="L4" s="27"/>
    </row>
    <row r="5" spans="1:12" ht="12.75">
      <c r="A5" s="1" t="s">
        <v>145</v>
      </c>
      <c r="B5" s="217">
        <f>SUM(D5:L5)</f>
        <v>812199.5870698249</v>
      </c>
      <c r="D5" s="27">
        <f>'[7]Foglio1'!$E$291+'[7]Foglio1'!$E$292+'[7]Foglio1'!$E$293+'[7]Foglio1'!$E$294</f>
        <v>567202.61</v>
      </c>
      <c r="E5" s="27">
        <f>'Ripartizione per totale '!E11</f>
        <v>199982.27727885405</v>
      </c>
      <c r="F5" s="27">
        <f>'Ripartizione per totale '!E15</f>
        <v>14.699790970945056</v>
      </c>
      <c r="G5" s="27">
        <f>'Ripartizione per totale '!E22</f>
        <v>0</v>
      </c>
      <c r="H5" s="27"/>
      <c r="I5" s="219">
        <v>45000</v>
      </c>
      <c r="L5" s="27"/>
    </row>
    <row r="6" spans="1:12" ht="12.75">
      <c r="A6" s="1" t="s">
        <v>146</v>
      </c>
      <c r="B6" s="217">
        <f>SUM(D6:L6)</f>
        <v>197171.88760000002</v>
      </c>
      <c r="D6" s="27">
        <f>'[7]Foglio1'!$E$306</f>
        <v>124791</v>
      </c>
      <c r="E6" s="27">
        <f>'Ripartizione per totale '!D11</f>
        <v>72375.5676</v>
      </c>
      <c r="F6" s="27">
        <f>'Ripartizione per totale '!D15</f>
        <v>5.319999999999999</v>
      </c>
      <c r="G6" s="27">
        <f>'Ripartizione per totale '!D22</f>
        <v>0</v>
      </c>
      <c r="H6" s="27"/>
      <c r="I6" s="27">
        <f>'Ripartizione per totale '!D18</f>
        <v>0</v>
      </c>
      <c r="L6" s="27"/>
    </row>
    <row r="7" spans="1:12" ht="12.75">
      <c r="A7" s="1" t="s">
        <v>147</v>
      </c>
      <c r="B7" s="217">
        <f>SUM(D7:L7)</f>
        <v>375112.654606848</v>
      </c>
      <c r="D7" s="27">
        <f>'[7]Foglio1'!$E$301</f>
        <v>184388.5</v>
      </c>
      <c r="E7" s="27">
        <f>'Ripartizione per totale '!G11</f>
        <v>185704.72429409737</v>
      </c>
      <c r="F7" s="27">
        <f>'Ripartizione per totale '!G15+'Ripartizione per totale '!F15</f>
        <v>19.430312750633238</v>
      </c>
      <c r="G7" s="27">
        <f>'Ripartizione per totale '!G38</f>
        <v>0</v>
      </c>
      <c r="H7" s="27">
        <v>5000</v>
      </c>
      <c r="I7" s="27"/>
      <c r="L7" s="27"/>
    </row>
    <row r="8" spans="1:12" ht="12.75">
      <c r="A8" s="1" t="s">
        <v>296</v>
      </c>
      <c r="B8" s="217">
        <f>SUM(D8:L8)</f>
        <v>78633.6054</v>
      </c>
      <c r="D8" s="27"/>
      <c r="E8" s="27">
        <f>'Ripartizione per totale '!F11</f>
        <v>78633.6054</v>
      </c>
      <c r="F8" s="27"/>
      <c r="G8" s="27">
        <f>'Ripartizione per totale '!F38</f>
        <v>0</v>
      </c>
      <c r="H8" s="27"/>
      <c r="I8" s="27"/>
      <c r="L8" s="27"/>
    </row>
    <row r="9" spans="1:13" ht="12.75">
      <c r="A9" s="1" t="s">
        <v>60</v>
      </c>
      <c r="B9" s="52">
        <f>J9</f>
        <v>0</v>
      </c>
      <c r="D9" s="27"/>
      <c r="F9" s="27"/>
      <c r="G9" s="27">
        <f>'Ripartizione per totale '!C26</f>
        <v>0</v>
      </c>
      <c r="H9" s="27"/>
      <c r="I9" s="27"/>
      <c r="J9" s="27">
        <f>'Servizi per conto terzi'!C82</f>
        <v>0</v>
      </c>
      <c r="L9" s="27"/>
      <c r="M9" s="27"/>
    </row>
    <row r="10" ht="12.75">
      <c r="G10" s="27">
        <f>'Ripartizione per totale '!C27</f>
        <v>60.5498962784217</v>
      </c>
    </row>
    <row r="11" spans="2:10" ht="12.75">
      <c r="B11" s="24">
        <f>SUM(B4:B10)</f>
        <v>5551571.239999999</v>
      </c>
      <c r="C11" s="24">
        <f aca="true" t="shared" si="0" ref="C11:J11">SUM(C4:C10)</f>
        <v>0</v>
      </c>
      <c r="D11" s="24">
        <f t="shared" si="0"/>
        <v>4121028.2399999998</v>
      </c>
      <c r="E11" s="24">
        <f t="shared" si="0"/>
        <v>1360443</v>
      </c>
      <c r="F11" s="24">
        <f t="shared" si="0"/>
        <v>99.99999999999999</v>
      </c>
      <c r="G11" s="24">
        <f t="shared" si="0"/>
        <v>60.5498962784217</v>
      </c>
      <c r="H11" s="24">
        <f t="shared" si="0"/>
        <v>5000</v>
      </c>
      <c r="I11" s="24">
        <f t="shared" si="0"/>
        <v>65000</v>
      </c>
      <c r="J11" s="24">
        <f t="shared" si="0"/>
        <v>0</v>
      </c>
    </row>
    <row r="13" ht="12.75">
      <c r="A13" s="20" t="s">
        <v>150</v>
      </c>
    </row>
    <row r="14" spans="3:11" ht="25.5">
      <c r="C14" s="20"/>
      <c r="D14" s="20" t="s">
        <v>295</v>
      </c>
      <c r="E14" s="20" t="s">
        <v>153</v>
      </c>
      <c r="F14" s="20" t="s">
        <v>102</v>
      </c>
      <c r="G14" s="20" t="s">
        <v>154</v>
      </c>
      <c r="H14" s="273" t="s">
        <v>155</v>
      </c>
      <c r="I14" s="20" t="s">
        <v>294</v>
      </c>
      <c r="K14" t="s">
        <v>351</v>
      </c>
    </row>
    <row r="15" spans="1:11" ht="12.75">
      <c r="A15" s="1" t="s">
        <v>144</v>
      </c>
      <c r="B15" s="52" t="e">
        <f>SUM(C15:K15)</f>
        <v>#REF!</v>
      </c>
      <c r="C15" s="24"/>
      <c r="D15" s="44">
        <f>'[7]Foglio1'!$E$311-'Ripartizione per totale '!C36+'Ripartizione per totale '!C33+Assumptions!G40</f>
        <v>1165090.4799946</v>
      </c>
      <c r="E15" s="24">
        <f>'Ripartizione per totale '!C35+'Ripartizione per totale '!C36</f>
        <v>20283.898698413526</v>
      </c>
      <c r="F15" s="24">
        <f>'Ripartizione per totale '!C42</f>
        <v>42384.92739489519</v>
      </c>
      <c r="G15" s="24">
        <f>'Ripartizione per totale '!C28+'[6]Foglio1'!$B$59+'[7]Foglio1'!$E$312</f>
        <v>1088208.1231082254</v>
      </c>
      <c r="H15" s="218">
        <f>'2018 RIPARTIZIONE PARTNERS'!E54+'2018 RIPARTIZIONE PARTNERS'!E55+'2018 RIPARTIZIONE PARTNERS'!E56+'2018 RIPARTIZIONE PARTNERS'!E57+'2018 RIPARTIZIONE PARTNERS'!E58+Assumptions!E59+Assumptions!E58+Assumptions!E60</f>
        <v>1462279.13</v>
      </c>
      <c r="I15" s="44">
        <f>'Competitività e sviluppo imp.'!D92</f>
        <v>0</v>
      </c>
      <c r="K15" s="275" t="e">
        <f>'Ripartizione per totale '!#REF!</f>
        <v>#REF!</v>
      </c>
    </row>
    <row r="16" spans="1:11" ht="12.75">
      <c r="A16" s="1" t="s">
        <v>145</v>
      </c>
      <c r="B16" s="52">
        <f>SUM(C16:K16)</f>
        <v>629145.7022963389</v>
      </c>
      <c r="C16" s="24"/>
      <c r="D16" s="24">
        <f>'[7]Foglio1'!$D$311-'Ripartizione per totale '!E36+'Ripartizione per totale '!E33+Assumptions!G41</f>
        <v>91280.47534228861</v>
      </c>
      <c r="E16" s="24">
        <f>'Ripartizione per totale '!E35+'Ripartizione per totale '!E36</f>
        <v>4924.353124759397</v>
      </c>
      <c r="F16" s="24">
        <f>'Ripartizione per totale '!E42</f>
        <v>10289.853679661539</v>
      </c>
      <c r="G16" s="24">
        <f>'Ripartizione per totale '!E28+'[7]Foglio1'!$D$312</f>
        <v>214126.3701496293</v>
      </c>
      <c r="H16" s="218">
        <f>'2018 RIPARTIZIONE PARTNERS'!F54+'2018 RIPARTIZIONE PARTNERS'!F57+'2018 RIPARTIZIONE PARTNERS'!F58</f>
        <v>308524.65</v>
      </c>
      <c r="I16" s="44">
        <f>'Com. int.le e internaz. imp.'!C90</f>
        <v>0</v>
      </c>
      <c r="K16" s="275">
        <f>'Ripartizione per totale '!E45</f>
        <v>0</v>
      </c>
    </row>
    <row r="17" spans="1:11" ht="12.75">
      <c r="A17" s="1" t="s">
        <v>146</v>
      </c>
      <c r="B17" s="52">
        <f>SUM(C17:K17)</f>
        <v>173913.89201777335</v>
      </c>
      <c r="C17" s="24"/>
      <c r="D17" s="24">
        <f>'Ripartizione per totale '!D33</f>
        <v>20556.243472799993</v>
      </c>
      <c r="E17" s="24">
        <f>'Ripartizione per totale '!D35</f>
        <v>1312.1006471999997</v>
      </c>
      <c r="F17" s="24">
        <f>'Ripartizione per totale '!D42</f>
        <v>3724</v>
      </c>
      <c r="G17" s="24">
        <f>'Ripartizione per totale '!D28+'[6]Foglio1'!$B$62</f>
        <v>109607.65789777337</v>
      </c>
      <c r="H17" s="218">
        <f>'Regolazione dei mercati'!C65</f>
        <v>38713.89</v>
      </c>
      <c r="I17" s="44">
        <f>'Regolazione dei mercati'!C88</f>
        <v>0</v>
      </c>
      <c r="K17" s="275">
        <f>'Ripartizione per totale '!D45</f>
        <v>0</v>
      </c>
    </row>
    <row r="18" spans="1:11" ht="12.75">
      <c r="A18" s="1" t="s">
        <v>147</v>
      </c>
      <c r="B18" s="52">
        <f>SUM(C18:K18)</f>
        <v>1958935.2390823308</v>
      </c>
      <c r="C18" s="24"/>
      <c r="D18" s="24">
        <f>'Ripartizione per totale '!G33+'Ripartizione per totale '!F33+Assumptions!G43+'Ripartizione per totale '!G43</f>
        <v>160098.9889767419</v>
      </c>
      <c r="E18" s="24">
        <f>'Ripartizione per totale '!G35+'Ripartizione per totale '!F35</f>
        <v>6217.757081996293</v>
      </c>
      <c r="F18" s="24">
        <f>'Ripartizione per totale '!G42</f>
        <v>13601.218925443267</v>
      </c>
      <c r="G18" s="24">
        <f>'Ripartizione per totale '!F28+'Ripartizione per totale '!G28+'[6]Foglio1'!$B$60</f>
        <v>827648.2740981494</v>
      </c>
      <c r="H18" s="218">
        <f>'2018 RIPARTIZIONE PARTNERS'!H54</f>
        <v>318777</v>
      </c>
      <c r="I18" s="24">
        <f>'Serv. istituz. e gen.'!C91</f>
        <v>0</v>
      </c>
      <c r="K18" s="275">
        <f>'Ripartizione per totale '!C45+'Ripartizione per totale '!F45</f>
        <v>632592</v>
      </c>
    </row>
    <row r="19" spans="1:9" ht="12.75">
      <c r="A19" s="1" t="s">
        <v>296</v>
      </c>
      <c r="B19" s="52" t="e">
        <f>SUM(C19:K19)</f>
        <v>#REF!</v>
      </c>
      <c r="C19" s="24"/>
      <c r="D19" s="24" t="e">
        <f>#REF!+#REF!</f>
        <v>#REF!</v>
      </c>
      <c r="E19" s="24"/>
      <c r="F19" s="24">
        <f>'Ripartizione per totale '!F42</f>
        <v>4046</v>
      </c>
      <c r="G19" s="24" t="e">
        <f>'[6]Foglio1'!$B$61+#REF!</f>
        <v>#REF!</v>
      </c>
      <c r="H19" s="218"/>
      <c r="I19" s="24">
        <f>'Ripartizione per totale '!F38</f>
        <v>0</v>
      </c>
    </row>
    <row r="20" spans="1:10" ht="12.75">
      <c r="A20" s="1" t="s">
        <v>60</v>
      </c>
      <c r="B20" s="52">
        <f>700000+1520000</f>
        <v>2220000</v>
      </c>
      <c r="C20" s="24"/>
      <c r="J20" s="24">
        <f>'Servizi per conto terzi'!C82</f>
        <v>0</v>
      </c>
    </row>
    <row r="22" spans="2:10" ht="12.75">
      <c r="B22" s="24" t="e">
        <f aca="true" t="shared" si="1" ref="B22:J22">SUM(B15:B21)</f>
        <v>#REF!</v>
      </c>
      <c r="C22" s="24">
        <f t="shared" si="1"/>
        <v>0</v>
      </c>
      <c r="D22" s="24" t="e">
        <f t="shared" si="1"/>
        <v>#REF!</v>
      </c>
      <c r="E22" s="24">
        <f t="shared" si="1"/>
        <v>32738.109552369217</v>
      </c>
      <c r="F22" s="24">
        <f t="shared" si="1"/>
        <v>74046</v>
      </c>
      <c r="G22" s="24" t="e">
        <f>SUM(G15:G21)</f>
        <v>#REF!</v>
      </c>
      <c r="H22" s="24">
        <f t="shared" si="1"/>
        <v>2128294.67</v>
      </c>
      <c r="I22" s="24">
        <f t="shared" si="1"/>
        <v>0</v>
      </c>
      <c r="J22" s="24">
        <f t="shared" si="1"/>
        <v>0</v>
      </c>
    </row>
    <row r="24" spans="1:3" ht="12.75">
      <c r="A24" s="20" t="s">
        <v>151</v>
      </c>
      <c r="C24" t="s">
        <v>345</v>
      </c>
    </row>
    <row r="25" spans="1:5" ht="12.75">
      <c r="A25" s="20" t="s">
        <v>144</v>
      </c>
      <c r="B25" s="24" t="e">
        <f aca="true" t="shared" si="2" ref="B25:B30">B4-B15</f>
        <v>#REF!</v>
      </c>
      <c r="C25" s="24">
        <f>'Competitività e sviluppo imp.'!D42-'Competitività e sviluppo imp.'!D95</f>
        <v>-467278.4004408568</v>
      </c>
      <c r="D25" s="24" t="e">
        <f>B25-C25</f>
        <v>#REF!</v>
      </c>
      <c r="E25" s="24"/>
    </row>
    <row r="26" spans="1:4" ht="12.75">
      <c r="A26" s="20" t="s">
        <v>145</v>
      </c>
      <c r="B26" s="24">
        <f t="shared" si="2"/>
        <v>183053.88477348606</v>
      </c>
      <c r="C26" s="24">
        <f>'Com. int.le e internaz. imp.'!C40-'Com. int.le e internaz. imp.'!C93</f>
        <v>25306.952409877907</v>
      </c>
      <c r="D26" s="24">
        <f>B26-C26</f>
        <v>157746.93236360815</v>
      </c>
    </row>
    <row r="27" spans="1:4" ht="12.75">
      <c r="A27" s="20" t="s">
        <v>146</v>
      </c>
      <c r="B27" s="24">
        <f t="shared" si="2"/>
        <v>23257.995582226664</v>
      </c>
      <c r="C27" s="24">
        <f>'Regolazione dei mercati'!C38-'Regolazione dei mercati'!C91</f>
        <v>-124237.55670400005</v>
      </c>
      <c r="D27" s="24">
        <f>B27-C27</f>
        <v>147495.5522862267</v>
      </c>
    </row>
    <row r="28" spans="1:4" ht="12.75">
      <c r="A28" s="20" t="s">
        <v>147</v>
      </c>
      <c r="B28" s="24">
        <f t="shared" si="2"/>
        <v>-1583822.5844754828</v>
      </c>
      <c r="C28" s="24">
        <f>'Serv. istituz. e gen.'!C41-'Serv. istituz. e gen.'!C94</f>
        <v>-84724.82718502742</v>
      </c>
      <c r="D28" s="24">
        <f>B28-C28</f>
        <v>-1499097.7572904555</v>
      </c>
    </row>
    <row r="29" spans="1:4" ht="12.75">
      <c r="A29" s="223" t="s">
        <v>296</v>
      </c>
      <c r="B29" s="24" t="e">
        <f t="shared" si="2"/>
        <v>#REF!</v>
      </c>
      <c r="C29" s="24">
        <f>'Serv. istituz. e gen.'!D41-'Serv. istituz. e gen.'!D94</f>
        <v>-19903.869236</v>
      </c>
      <c r="D29" s="24" t="e">
        <f>B29-C29</f>
        <v>#REF!</v>
      </c>
    </row>
    <row r="30" spans="1:2" ht="12.75">
      <c r="A30" s="20" t="s">
        <v>60</v>
      </c>
      <c r="B30" s="24">
        <f t="shared" si="2"/>
        <v>-2220000</v>
      </c>
    </row>
    <row r="31" spans="2:5" ht="12.75">
      <c r="B31" t="s">
        <v>300</v>
      </c>
      <c r="C31" t="s">
        <v>301</v>
      </c>
      <c r="D31" t="s">
        <v>297</v>
      </c>
      <c r="E31" t="s">
        <v>298</v>
      </c>
    </row>
    <row r="32" spans="2:5" ht="12.75">
      <c r="B32" s="27" t="e">
        <f>SUM(B25:B30)</f>
        <v>#REF!</v>
      </c>
      <c r="C32" s="24">
        <f>'[10]Prospetto 2017'!I119</f>
        <v>-1772661.818034999</v>
      </c>
      <c r="D32" s="24">
        <f>'[5]Foglio1'!$C$317</f>
        <v>451487.98500000034</v>
      </c>
      <c r="E32" s="24" t="e">
        <f>B32-D32</f>
        <v>#REF!</v>
      </c>
    </row>
    <row r="33" spans="2:3" ht="12.75">
      <c r="B33" s="24"/>
      <c r="C33" s="24"/>
    </row>
    <row r="34" spans="2:3" ht="12.75">
      <c r="B34" s="24" t="s">
        <v>302</v>
      </c>
      <c r="C34" s="24" t="e">
        <f>C32-B32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4.00390625" style="0" bestFit="1" customWidth="1"/>
    <col min="2" max="2" width="19.7109375" style="0" customWidth="1"/>
    <col min="3" max="3" width="36.7109375" style="0" bestFit="1" customWidth="1"/>
    <col min="4" max="6" width="12.57421875" style="0" bestFit="1" customWidth="1"/>
    <col min="7" max="7" width="23.28125" style="0" bestFit="1" customWidth="1"/>
    <col min="8" max="8" width="12.8515625" style="0" bestFit="1" customWidth="1"/>
    <col min="9" max="9" width="11.7109375" style="0" bestFit="1" customWidth="1"/>
  </cols>
  <sheetData>
    <row r="1" ht="12.75">
      <c r="C1" s="20" t="s">
        <v>165</v>
      </c>
    </row>
    <row r="2" spans="1:4" ht="13.5" thickBot="1">
      <c r="A2" s="155"/>
      <c r="B2" s="155"/>
      <c r="C2" s="155"/>
      <c r="D2" s="155"/>
    </row>
    <row r="3" spans="1:9" ht="51.75" thickBot="1">
      <c r="A3" s="320" t="s">
        <v>365</v>
      </c>
      <c r="B3" s="321" t="s">
        <v>380</v>
      </c>
      <c r="C3" s="321" t="s">
        <v>366</v>
      </c>
      <c r="D3" s="321" t="s">
        <v>379</v>
      </c>
      <c r="F3" s="339">
        <v>2018</v>
      </c>
      <c r="G3" s="340"/>
      <c r="H3" s="340"/>
      <c r="I3" s="341"/>
    </row>
    <row r="4" spans="1:9" ht="13.5" thickBot="1">
      <c r="A4" s="322"/>
      <c r="B4" s="323"/>
      <c r="C4" s="323"/>
      <c r="D4" s="348"/>
      <c r="F4" s="342"/>
      <c r="G4" s="31" t="s">
        <v>72</v>
      </c>
      <c r="H4" s="31" t="s">
        <v>73</v>
      </c>
      <c r="I4" s="343" t="s">
        <v>174</v>
      </c>
    </row>
    <row r="5" spans="1:9" ht="13.5" thickBot="1">
      <c r="A5" s="322" t="s">
        <v>367</v>
      </c>
      <c r="B5" s="334">
        <f>C5/2</f>
        <v>13202.525</v>
      </c>
      <c r="C5" s="323">
        <v>26405.05</v>
      </c>
      <c r="D5" s="352">
        <f>C5/2-0.01</f>
        <v>13202.515</v>
      </c>
      <c r="E5" t="s">
        <v>310</v>
      </c>
      <c r="F5" s="342" t="s">
        <v>310</v>
      </c>
      <c r="G5" s="91">
        <f>B5+B6+B7+B8+B9+B10</f>
        <v>85760.15</v>
      </c>
      <c r="H5" s="335">
        <f>D5+D6+D7+D8+D9+D10</f>
        <v>85760.12999999999</v>
      </c>
      <c r="I5" s="344">
        <f>C16+B31+B45</f>
        <v>488295.54244</v>
      </c>
    </row>
    <row r="6" spans="1:9" ht="13.5" thickBot="1">
      <c r="A6" s="322" t="s">
        <v>368</v>
      </c>
      <c r="B6" s="323">
        <f>C6/2</f>
        <v>6027.35</v>
      </c>
      <c r="C6" s="323">
        <v>12054.7</v>
      </c>
      <c r="D6" s="349">
        <f>B6</f>
        <v>6027.35</v>
      </c>
      <c r="E6" t="s">
        <v>310</v>
      </c>
      <c r="F6" s="342" t="s">
        <v>381</v>
      </c>
      <c r="G6" s="336">
        <f>D12+B22</f>
        <v>34774.8</v>
      </c>
      <c r="H6" s="337">
        <f>D12</f>
        <v>26490.8</v>
      </c>
      <c r="I6" s="343"/>
    </row>
    <row r="7" spans="1:9" ht="13.5" thickBot="1">
      <c r="A7" s="322" t="s">
        <v>369</v>
      </c>
      <c r="B7" s="323">
        <f>C7/2</f>
        <v>9468.55</v>
      </c>
      <c r="C7" s="323">
        <v>18937.1</v>
      </c>
      <c r="D7" s="349">
        <f aca="true" t="shared" si="0" ref="D7:D13">B7</f>
        <v>9468.55</v>
      </c>
      <c r="E7" t="s">
        <v>310</v>
      </c>
      <c r="F7" s="342" t="s">
        <v>382</v>
      </c>
      <c r="G7" s="336">
        <f>B24+D13+B30</f>
        <v>32076.6</v>
      </c>
      <c r="H7" s="337">
        <f>D13</f>
        <v>16644.6</v>
      </c>
      <c r="I7" s="343"/>
    </row>
    <row r="8" spans="1:9" ht="13.5" thickBot="1">
      <c r="A8" s="322" t="s">
        <v>370</v>
      </c>
      <c r="B8" s="323">
        <f aca="true" t="shared" si="1" ref="B8:B13">C8/2</f>
        <v>8073.1</v>
      </c>
      <c r="C8" s="323">
        <v>16146.2</v>
      </c>
      <c r="D8" s="349">
        <f t="shared" si="0"/>
        <v>8073.1</v>
      </c>
      <c r="E8" t="s">
        <v>310</v>
      </c>
      <c r="F8" s="342" t="s">
        <v>383</v>
      </c>
      <c r="G8" s="336">
        <f>B23+B25+B26+B27+B28+B29+B36+B37+B38+B39+B40+B41+B42+B43+B44</f>
        <v>206788.44244</v>
      </c>
      <c r="H8" s="31"/>
      <c r="I8" s="343"/>
    </row>
    <row r="9" spans="1:9" ht="13.5" thickBot="1">
      <c r="A9" s="322" t="s">
        <v>371</v>
      </c>
      <c r="B9" s="323">
        <f t="shared" si="1"/>
        <v>30231.6</v>
      </c>
      <c r="C9" s="323">
        <v>60463.2</v>
      </c>
      <c r="D9" s="349">
        <f t="shared" si="0"/>
        <v>30231.6</v>
      </c>
      <c r="E9" t="s">
        <v>310</v>
      </c>
      <c r="F9" s="342"/>
      <c r="G9" s="338">
        <f>SUM(G5:G8)</f>
        <v>359399.99244</v>
      </c>
      <c r="H9" s="338">
        <f>SUM(H5:H8)</f>
        <v>128895.53</v>
      </c>
      <c r="I9" s="343"/>
    </row>
    <row r="10" spans="1:9" ht="13.5" thickBot="1">
      <c r="A10" s="322" t="s">
        <v>372</v>
      </c>
      <c r="B10" s="323">
        <f t="shared" si="1"/>
        <v>18757.025</v>
      </c>
      <c r="C10" s="323">
        <v>37514.05</v>
      </c>
      <c r="D10" s="349">
        <f>B10-0.01</f>
        <v>18757.015000000003</v>
      </c>
      <c r="E10" t="s">
        <v>310</v>
      </c>
      <c r="F10" s="342"/>
      <c r="G10" s="31"/>
      <c r="H10" s="31"/>
      <c r="I10" s="343"/>
    </row>
    <row r="11" spans="1:9" ht="13.5" thickBot="1">
      <c r="A11" s="322" t="s">
        <v>373</v>
      </c>
      <c r="B11" s="323">
        <f t="shared" si="1"/>
        <v>0</v>
      </c>
      <c r="C11" s="324">
        <v>0</v>
      </c>
      <c r="D11" s="349">
        <f t="shared" si="0"/>
        <v>0</v>
      </c>
      <c r="F11" s="345"/>
      <c r="G11" s="346"/>
      <c r="H11" s="346"/>
      <c r="I11" s="347"/>
    </row>
    <row r="12" spans="1:5" ht="13.5" thickBot="1">
      <c r="A12" s="322" t="s">
        <v>374</v>
      </c>
      <c r="B12" s="323">
        <f t="shared" si="1"/>
        <v>26490.8</v>
      </c>
      <c r="C12" s="323">
        <v>52981.6</v>
      </c>
      <c r="D12" s="349">
        <f t="shared" si="0"/>
        <v>26490.8</v>
      </c>
      <c r="E12" t="s">
        <v>308</v>
      </c>
    </row>
    <row r="13" spans="1:5" ht="13.5" thickBot="1">
      <c r="A13" s="322" t="s">
        <v>375</v>
      </c>
      <c r="B13" s="323">
        <f t="shared" si="1"/>
        <v>16644.6</v>
      </c>
      <c r="C13" s="323">
        <v>33289.2</v>
      </c>
      <c r="D13" s="349">
        <f t="shared" si="0"/>
        <v>16644.6</v>
      </c>
      <c r="E13" t="s">
        <v>312</v>
      </c>
    </row>
    <row r="14" spans="1:4" ht="13.5" thickBot="1">
      <c r="A14" s="322" t="s">
        <v>376</v>
      </c>
      <c r="B14" s="323"/>
      <c r="C14" s="325" t="s">
        <v>377</v>
      </c>
      <c r="D14" s="350"/>
    </row>
    <row r="15" spans="1:4" ht="13.5" thickBot="1">
      <c r="A15" s="322" t="s">
        <v>378</v>
      </c>
      <c r="B15" s="323"/>
      <c r="C15" s="325" t="s">
        <v>377</v>
      </c>
      <c r="D15" s="353"/>
    </row>
    <row r="16" spans="1:4" ht="13.5" thickBot="1">
      <c r="A16" s="322" t="s">
        <v>132</v>
      </c>
      <c r="B16" s="326">
        <f>SUM(B5:B15)</f>
        <v>128895.54999999999</v>
      </c>
      <c r="C16" s="323">
        <f>SUM(C5:C15)</f>
        <v>257791.09999999998</v>
      </c>
      <c r="D16" s="351">
        <f>SUM(D5:D13)</f>
        <v>128895.53</v>
      </c>
    </row>
    <row r="17" spans="1:4" ht="12.75">
      <c r="A17" s="155"/>
      <c r="B17" s="155"/>
      <c r="C17" s="155"/>
      <c r="D17" s="155"/>
    </row>
    <row r="18" spans="1:4" ht="12.75">
      <c r="A18" s="155"/>
      <c r="B18" s="155"/>
      <c r="C18" s="155"/>
      <c r="D18" s="155"/>
    </row>
    <row r="21" spans="1:9" ht="15">
      <c r="A21" s="259" t="s">
        <v>271</v>
      </c>
      <c r="B21" s="256"/>
      <c r="C21" s="257"/>
      <c r="G21" s="259"/>
      <c r="H21" s="254"/>
      <c r="I21" s="327"/>
    </row>
    <row r="22" spans="1:9" ht="15">
      <c r="A22" s="259" t="s">
        <v>273</v>
      </c>
      <c r="B22" s="254">
        <v>8284</v>
      </c>
      <c r="C22" s="260" t="s">
        <v>274</v>
      </c>
      <c r="D22" t="s">
        <v>308</v>
      </c>
      <c r="G22" s="259"/>
      <c r="H22" s="254"/>
      <c r="I22" s="327"/>
    </row>
    <row r="23" spans="1:9" ht="15">
      <c r="A23" s="259" t="s">
        <v>276</v>
      </c>
      <c r="B23" s="254">
        <v>5844.2</v>
      </c>
      <c r="C23" s="260" t="s">
        <v>277</v>
      </c>
      <c r="D23" t="s">
        <v>309</v>
      </c>
      <c r="G23" s="259"/>
      <c r="H23" s="254"/>
      <c r="I23" s="327"/>
    </row>
    <row r="24" spans="1:9" ht="27">
      <c r="A24" s="259" t="s">
        <v>318</v>
      </c>
      <c r="B24" s="254">
        <v>12376.6</v>
      </c>
      <c r="C24" s="260" t="s">
        <v>275</v>
      </c>
      <c r="D24" t="s">
        <v>312</v>
      </c>
      <c r="G24" s="259"/>
      <c r="H24" s="254"/>
      <c r="I24" s="327"/>
    </row>
    <row r="25" spans="1:9" ht="27">
      <c r="A25" s="259" t="s">
        <v>278</v>
      </c>
      <c r="B25" s="254">
        <v>5871</v>
      </c>
      <c r="C25" s="260" t="s">
        <v>279</v>
      </c>
      <c r="D25" t="s">
        <v>309</v>
      </c>
      <c r="G25" s="259"/>
      <c r="H25" s="254"/>
      <c r="I25" s="327"/>
    </row>
    <row r="26" spans="1:9" ht="15">
      <c r="A26" s="259" t="s">
        <v>285</v>
      </c>
      <c r="B26" s="254">
        <v>6640.8</v>
      </c>
      <c r="C26" s="260" t="s">
        <v>286</v>
      </c>
      <c r="D26" t="s">
        <v>309</v>
      </c>
      <c r="G26" s="259"/>
      <c r="H26" s="254"/>
      <c r="I26" s="327"/>
    </row>
    <row r="27" spans="1:9" ht="15">
      <c r="A27" s="259" t="s">
        <v>280</v>
      </c>
      <c r="B27" s="254">
        <v>7732.2</v>
      </c>
      <c r="C27" s="260" t="s">
        <v>281</v>
      </c>
      <c r="D27" t="s">
        <v>309</v>
      </c>
      <c r="G27" s="259"/>
      <c r="H27" s="254"/>
      <c r="I27" s="327"/>
    </row>
    <row r="28" spans="1:9" ht="27">
      <c r="A28" s="259" t="s">
        <v>282</v>
      </c>
      <c r="B28" s="254">
        <v>4960.8</v>
      </c>
      <c r="C28" s="260" t="s">
        <v>283</v>
      </c>
      <c r="D28" t="s">
        <v>309</v>
      </c>
      <c r="G28" s="259"/>
      <c r="H28" s="254"/>
      <c r="I28" s="327"/>
    </row>
    <row r="29" spans="1:9" ht="27">
      <c r="A29" s="259" t="s">
        <v>319</v>
      </c>
      <c r="B29" s="254">
        <v>9749.2</v>
      </c>
      <c r="C29" s="260" t="s">
        <v>284</v>
      </c>
      <c r="D29" t="s">
        <v>309</v>
      </c>
      <c r="G29" s="259"/>
      <c r="H29" s="254"/>
      <c r="I29" s="327"/>
    </row>
    <row r="30" spans="1:9" ht="15">
      <c r="A30" s="259" t="s">
        <v>320</v>
      </c>
      <c r="B30" s="254">
        <v>3055.4</v>
      </c>
      <c r="C30" s="260" t="s">
        <v>272</v>
      </c>
      <c r="D30" t="s">
        <v>312</v>
      </c>
      <c r="G30" s="259"/>
      <c r="H30" s="328"/>
      <c r="I30" s="329"/>
    </row>
    <row r="31" spans="1:3" ht="15">
      <c r="A31" s="259" t="s">
        <v>321</v>
      </c>
      <c r="B31" s="258">
        <f>SUM(B22:B30)</f>
        <v>64514.200000000004</v>
      </c>
      <c r="C31" s="255"/>
    </row>
    <row r="33" ht="12.75">
      <c r="A33" s="261" t="s">
        <v>333</v>
      </c>
    </row>
    <row r="35" spans="1:3" ht="15">
      <c r="A35" s="266" t="s">
        <v>271</v>
      </c>
      <c r="B35" s="262"/>
      <c r="C35" s="263"/>
    </row>
    <row r="36" spans="1:9" ht="15">
      <c r="A36" s="265" t="s">
        <v>289</v>
      </c>
      <c r="B36" s="332">
        <v>14529.53424</v>
      </c>
      <c r="C36" s="263" t="s">
        <v>287</v>
      </c>
      <c r="D36" t="s">
        <v>309</v>
      </c>
      <c r="G36" s="265"/>
      <c r="H36" s="332"/>
      <c r="I36" s="331"/>
    </row>
    <row r="37" spans="1:9" ht="40.5">
      <c r="A37" s="259" t="s">
        <v>322</v>
      </c>
      <c r="B37" s="332">
        <v>19154.63005</v>
      </c>
      <c r="C37" s="263" t="s">
        <v>288</v>
      </c>
      <c r="D37" t="s">
        <v>309</v>
      </c>
      <c r="G37" s="259"/>
      <c r="H37" s="332"/>
      <c r="I37" s="331"/>
    </row>
    <row r="38" spans="1:9" ht="27">
      <c r="A38" s="259" t="s">
        <v>323</v>
      </c>
      <c r="B38" s="332">
        <v>16771.840795000004</v>
      </c>
      <c r="C38" s="262" t="s">
        <v>324</v>
      </c>
      <c r="D38" t="s">
        <v>309</v>
      </c>
      <c r="G38" s="259"/>
      <c r="H38" s="332"/>
      <c r="I38" s="330"/>
    </row>
    <row r="39" spans="1:9" ht="27">
      <c r="A39" s="259" t="s">
        <v>325</v>
      </c>
      <c r="B39" s="332">
        <v>9000</v>
      </c>
      <c r="C39" s="263" t="s">
        <v>290</v>
      </c>
      <c r="D39" t="s">
        <v>309</v>
      </c>
      <c r="G39" s="259"/>
      <c r="H39" s="332"/>
      <c r="I39" s="331"/>
    </row>
    <row r="40" spans="1:9" ht="40.5">
      <c r="A40" s="259" t="s">
        <v>326</v>
      </c>
      <c r="B40" s="332">
        <v>17565.481499999998</v>
      </c>
      <c r="C40" s="263" t="s">
        <v>277</v>
      </c>
      <c r="D40" t="s">
        <v>309</v>
      </c>
      <c r="G40" s="259"/>
      <c r="H40" s="332"/>
      <c r="I40" s="331"/>
    </row>
    <row r="41" spans="1:9" ht="27">
      <c r="A41" s="259" t="s">
        <v>327</v>
      </c>
      <c r="B41" s="332">
        <v>27968.418859999998</v>
      </c>
      <c r="C41" s="263" t="s">
        <v>290</v>
      </c>
      <c r="D41" t="s">
        <v>309</v>
      </c>
      <c r="G41" s="259"/>
      <c r="H41" s="332"/>
      <c r="I41" s="331"/>
    </row>
    <row r="42" spans="1:9" ht="54">
      <c r="A42" s="259" t="s">
        <v>328</v>
      </c>
      <c r="B42" s="332">
        <v>26213.277465</v>
      </c>
      <c r="C42" s="263" t="s">
        <v>283</v>
      </c>
      <c r="D42" t="s">
        <v>309</v>
      </c>
      <c r="G42" s="259"/>
      <c r="H42" s="332"/>
      <c r="I42" s="331"/>
    </row>
    <row r="43" spans="1:9" ht="40.5">
      <c r="A43" s="259" t="s">
        <v>329</v>
      </c>
      <c r="B43" s="332">
        <v>17565.623450000003</v>
      </c>
      <c r="C43" s="267" t="s">
        <v>330</v>
      </c>
      <c r="D43" t="s">
        <v>309</v>
      </c>
      <c r="G43" s="259"/>
      <c r="H43" s="332"/>
      <c r="I43" s="333"/>
    </row>
    <row r="44" spans="1:9" ht="54">
      <c r="A44" s="259" t="s">
        <v>331</v>
      </c>
      <c r="B44" s="332">
        <v>17221.43608</v>
      </c>
      <c r="C44" s="263" t="s">
        <v>290</v>
      </c>
      <c r="D44" t="s">
        <v>309</v>
      </c>
      <c r="G44" s="259"/>
      <c r="H44" s="332"/>
      <c r="I44" s="331"/>
    </row>
    <row r="45" spans="1:9" ht="15">
      <c r="A45" s="259" t="s">
        <v>332</v>
      </c>
      <c r="B45" s="264">
        <f>SUM(B36:B44)</f>
        <v>165990.24244</v>
      </c>
      <c r="G45" s="259"/>
      <c r="H45" s="264"/>
      <c r="I45" s="330"/>
    </row>
    <row r="48" ht="12.75">
      <c r="B48" s="232"/>
    </row>
    <row r="53" spans="5:8" ht="12.75">
      <c r="E53" s="270" t="s">
        <v>341</v>
      </c>
      <c r="F53" s="270" t="s">
        <v>342</v>
      </c>
      <c r="G53" t="s">
        <v>350</v>
      </c>
      <c r="H53" t="s">
        <v>352</v>
      </c>
    </row>
    <row r="54" spans="1:8" ht="15">
      <c r="A54" t="s">
        <v>308</v>
      </c>
      <c r="C54">
        <v>8284</v>
      </c>
      <c r="E54" s="278">
        <f>C54+E63+B76+('[9]Foglio1'!$C$49)</f>
        <v>490773</v>
      </c>
      <c r="F54" s="271">
        <f>F63</f>
        <v>111944</v>
      </c>
      <c r="G54" s="276">
        <f>233672</f>
        <v>233672</v>
      </c>
      <c r="H54" s="277">
        <f>'[8]Foglio1'!$C$49</f>
        <v>318777</v>
      </c>
    </row>
    <row r="55" spans="1:6" ht="12.75">
      <c r="A55" t="s">
        <v>309</v>
      </c>
      <c r="C55">
        <v>414360.66</v>
      </c>
      <c r="E55" s="271">
        <f>(C55+B77)</f>
        <v>575360.6599999999</v>
      </c>
      <c r="F55" s="271"/>
    </row>
    <row r="56" spans="1:6" ht="12.75">
      <c r="A56" t="s">
        <v>312</v>
      </c>
      <c r="C56">
        <v>15432</v>
      </c>
      <c r="E56" s="271">
        <f>C56</f>
        <v>15432</v>
      </c>
      <c r="F56" s="271"/>
    </row>
    <row r="57" spans="1:6" ht="12.75">
      <c r="A57" t="s">
        <v>310</v>
      </c>
      <c r="C57">
        <v>4802.82</v>
      </c>
      <c r="E57" s="271">
        <f>C57+B74+E62</f>
        <v>204185.12</v>
      </c>
      <c r="F57" s="271">
        <f>F62</f>
        <v>124382.3</v>
      </c>
    </row>
    <row r="58" spans="1:6" ht="12.75">
      <c r="A58" s="20" t="s">
        <v>344</v>
      </c>
      <c r="E58" s="271">
        <f>E66+B75</f>
        <v>167198.35</v>
      </c>
      <c r="F58" s="271">
        <f>F66</f>
        <v>72198.35</v>
      </c>
    </row>
    <row r="60" ht="12.75">
      <c r="A60" s="232"/>
    </row>
    <row r="61" spans="1:6" ht="12.75">
      <c r="A61" s="44" t="s">
        <v>340</v>
      </c>
      <c r="C61" s="20"/>
      <c r="E61" s="20" t="s">
        <v>341</v>
      </c>
      <c r="F61" s="20" t="s">
        <v>342</v>
      </c>
    </row>
    <row r="62" spans="1:6" ht="12.75">
      <c r="A62" s="268" t="s">
        <v>334</v>
      </c>
      <c r="B62">
        <v>248764.6</v>
      </c>
      <c r="E62">
        <f aca="true" t="shared" si="2" ref="E62:E67">B62/2</f>
        <v>124382.3</v>
      </c>
      <c r="F62">
        <f aca="true" t="shared" si="3" ref="F62:F67">B62/2</f>
        <v>124382.3</v>
      </c>
    </row>
    <row r="63" spans="1:6" ht="36">
      <c r="A63" s="268" t="s">
        <v>335</v>
      </c>
      <c r="B63">
        <v>223888</v>
      </c>
      <c r="E63">
        <f t="shared" si="2"/>
        <v>111944</v>
      </c>
      <c r="F63">
        <f t="shared" si="3"/>
        <v>111944</v>
      </c>
    </row>
    <row r="64" spans="1:6" ht="24">
      <c r="A64" s="268" t="s">
        <v>336</v>
      </c>
      <c r="E64">
        <f t="shared" si="2"/>
        <v>0</v>
      </c>
      <c r="F64">
        <f t="shared" si="3"/>
        <v>0</v>
      </c>
    </row>
    <row r="65" spans="1:6" ht="36">
      <c r="A65" s="268" t="s">
        <v>337</v>
      </c>
      <c r="E65">
        <f t="shared" si="2"/>
        <v>0</v>
      </c>
      <c r="F65">
        <f t="shared" si="3"/>
        <v>0</v>
      </c>
    </row>
    <row r="66" spans="1:6" ht="24">
      <c r="A66" s="268" t="s">
        <v>338</v>
      </c>
      <c r="B66">
        <v>144396.7</v>
      </c>
      <c r="E66">
        <f t="shared" si="2"/>
        <v>72198.35</v>
      </c>
      <c r="F66">
        <f t="shared" si="3"/>
        <v>72198.35</v>
      </c>
    </row>
    <row r="67" spans="1:6" ht="24">
      <c r="A67" s="269" t="s">
        <v>339</v>
      </c>
      <c r="E67">
        <f t="shared" si="2"/>
        <v>0</v>
      </c>
      <c r="F67">
        <f t="shared" si="3"/>
        <v>0</v>
      </c>
    </row>
    <row r="72" ht="12.75">
      <c r="A72" s="20" t="s">
        <v>343</v>
      </c>
    </row>
    <row r="74" spans="1:2" ht="12.75">
      <c r="A74" s="268" t="s">
        <v>334</v>
      </c>
      <c r="B74">
        <v>75000</v>
      </c>
    </row>
    <row r="75" spans="1:2" ht="24">
      <c r="A75" s="268" t="s">
        <v>338</v>
      </c>
      <c r="B75">
        <v>95000</v>
      </c>
    </row>
    <row r="76" spans="1:2" ht="36">
      <c r="A76" s="268" t="s">
        <v>335</v>
      </c>
      <c r="B76">
        <v>85000</v>
      </c>
    </row>
    <row r="77" spans="1:2" ht="24">
      <c r="A77" s="269" t="s">
        <v>339</v>
      </c>
      <c r="B77">
        <f>416000-B74-B75-B76</f>
        <v>161000</v>
      </c>
    </row>
    <row r="81" ht="12.75">
      <c r="B81" s="232">
        <f>B48+B62+B63+B66+B74+B75+B76+B77</f>
        <v>1033049.3</v>
      </c>
    </row>
  </sheetData>
  <sheetProtection/>
  <dataValidations count="1">
    <dataValidation type="list" allowBlank="1" showInputMessage="1" showErrorMessage="1" sqref="D1:D2 D17:D65536 E12:E13">
      <formula1>$A$54:$A$57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0">
      <selection activeCell="C82" sqref="C82"/>
    </sheetView>
  </sheetViews>
  <sheetFormatPr defaultColWidth="9.140625" defaultRowHeight="12.75"/>
  <cols>
    <col min="1" max="1" width="42.8515625" style="0" bestFit="1" customWidth="1"/>
    <col min="2" max="2" width="12.8515625" style="0" bestFit="1" customWidth="1"/>
    <col min="3" max="3" width="17.8515625" style="0" bestFit="1" customWidth="1"/>
    <col min="4" max="4" width="13.28125" style="0" bestFit="1" customWidth="1"/>
    <col min="5" max="5" width="12.8515625" style="0" bestFit="1" customWidth="1"/>
    <col min="6" max="6" width="10.140625" style="0" bestFit="1" customWidth="1"/>
    <col min="7" max="7" width="9.7109375" style="0" bestFit="1" customWidth="1"/>
  </cols>
  <sheetData>
    <row r="1" spans="1:7" ht="89.25">
      <c r="A1" s="533" t="s">
        <v>486</v>
      </c>
      <c r="B1" s="534" t="s">
        <v>469</v>
      </c>
      <c r="C1" s="534" t="s">
        <v>470</v>
      </c>
      <c r="D1" s="534" t="s">
        <v>471</v>
      </c>
      <c r="E1" s="534" t="s">
        <v>472</v>
      </c>
      <c r="F1" s="534" t="s">
        <v>470</v>
      </c>
      <c r="G1" s="534" t="s">
        <v>473</v>
      </c>
    </row>
    <row r="2" spans="1:7" ht="12.75">
      <c r="A2" s="535"/>
      <c r="B2" s="337"/>
      <c r="C2" s="337"/>
      <c r="D2" s="337"/>
      <c r="E2" s="31"/>
      <c r="F2" s="31"/>
      <c r="G2" s="337"/>
    </row>
    <row r="3" spans="1:8" ht="12.75">
      <c r="A3" s="535" t="s">
        <v>367</v>
      </c>
      <c r="B3" s="337">
        <v>81600</v>
      </c>
      <c r="C3" s="337">
        <f aca="true" t="shared" si="0" ref="C3:C11">B3*60%</f>
        <v>48960</v>
      </c>
      <c r="D3" s="337">
        <f aca="true" t="shared" si="1" ref="D3:D11">C3*70%</f>
        <v>34272</v>
      </c>
      <c r="E3" s="31">
        <v>67000</v>
      </c>
      <c r="F3" s="31">
        <f aca="true" t="shared" si="2" ref="F3:F12">E3*60%</f>
        <v>40200</v>
      </c>
      <c r="G3" s="337">
        <f aca="true" t="shared" si="3" ref="G3:G12">(F3-D3)/2</f>
        <v>2964</v>
      </c>
      <c r="H3" t="s">
        <v>310</v>
      </c>
    </row>
    <row r="4" spans="1:8" ht="12.75">
      <c r="A4" s="535" t="s">
        <v>368</v>
      </c>
      <c r="B4" s="337">
        <v>39988</v>
      </c>
      <c r="C4" s="337">
        <f t="shared" si="0"/>
        <v>23992.8</v>
      </c>
      <c r="D4" s="337">
        <f t="shared" si="1"/>
        <v>16794.96</v>
      </c>
      <c r="E4" s="31">
        <v>30000</v>
      </c>
      <c r="F4" s="31">
        <f t="shared" si="2"/>
        <v>18000</v>
      </c>
      <c r="G4" s="337">
        <f t="shared" si="3"/>
        <v>602.5200000000004</v>
      </c>
      <c r="H4" t="s">
        <v>310</v>
      </c>
    </row>
    <row r="5" spans="1:8" ht="12.75">
      <c r="A5" s="535" t="s">
        <v>369</v>
      </c>
      <c r="B5" s="337">
        <v>51808</v>
      </c>
      <c r="C5" s="337">
        <f t="shared" si="0"/>
        <v>31084.8</v>
      </c>
      <c r="D5" s="337">
        <f t="shared" si="1"/>
        <v>21759.359999999997</v>
      </c>
      <c r="E5" s="31">
        <v>45000</v>
      </c>
      <c r="F5" s="31">
        <f t="shared" si="2"/>
        <v>27000</v>
      </c>
      <c r="G5" s="337">
        <f t="shared" si="3"/>
        <v>2620.3200000000015</v>
      </c>
      <c r="H5" t="s">
        <v>310</v>
      </c>
    </row>
    <row r="6" spans="1:8" ht="12.75">
      <c r="A6" s="535" t="s">
        <v>370</v>
      </c>
      <c r="B6" s="337">
        <v>40771</v>
      </c>
      <c r="C6" s="337">
        <f t="shared" si="0"/>
        <v>24462.6</v>
      </c>
      <c r="D6" s="337">
        <f t="shared" si="1"/>
        <v>17123.82</v>
      </c>
      <c r="E6" s="31">
        <v>30000</v>
      </c>
      <c r="F6" s="31">
        <f t="shared" si="2"/>
        <v>18000</v>
      </c>
      <c r="G6" s="337">
        <f t="shared" si="3"/>
        <v>438.09000000000015</v>
      </c>
      <c r="H6" t="s">
        <v>310</v>
      </c>
    </row>
    <row r="7" spans="1:8" ht="12.75">
      <c r="A7" s="535" t="s">
        <v>371</v>
      </c>
      <c r="B7" s="337">
        <v>163490</v>
      </c>
      <c r="C7" s="337">
        <f t="shared" si="0"/>
        <v>98094</v>
      </c>
      <c r="D7" s="337">
        <f t="shared" si="1"/>
        <v>68665.8</v>
      </c>
      <c r="E7" s="31">
        <v>77000</v>
      </c>
      <c r="F7" s="31">
        <f t="shared" si="2"/>
        <v>46200</v>
      </c>
      <c r="G7" s="337">
        <f t="shared" si="3"/>
        <v>-11232.900000000001</v>
      </c>
      <c r="H7" t="s">
        <v>310</v>
      </c>
    </row>
    <row r="8" spans="1:8" ht="12.75">
      <c r="A8" s="535" t="s">
        <v>372</v>
      </c>
      <c r="B8" s="337">
        <v>85545</v>
      </c>
      <c r="C8" s="337">
        <f t="shared" si="0"/>
        <v>51327</v>
      </c>
      <c r="D8" s="337">
        <f t="shared" si="1"/>
        <v>35928.899999999994</v>
      </c>
      <c r="E8" s="31">
        <v>35000</v>
      </c>
      <c r="F8" s="31">
        <f t="shared" si="2"/>
        <v>21000</v>
      </c>
      <c r="G8" s="337">
        <f t="shared" si="3"/>
        <v>-7464.449999999997</v>
      </c>
      <c r="H8" t="s">
        <v>310</v>
      </c>
    </row>
    <row r="9" spans="1:8" ht="12.75">
      <c r="A9" s="535" t="s">
        <v>374</v>
      </c>
      <c r="B9" s="337">
        <v>154548</v>
      </c>
      <c r="C9" s="337">
        <f t="shared" si="0"/>
        <v>92728.8</v>
      </c>
      <c r="D9" s="337">
        <f t="shared" si="1"/>
        <v>64910.159999999996</v>
      </c>
      <c r="E9" s="31">
        <v>120000</v>
      </c>
      <c r="F9" s="31">
        <f t="shared" si="2"/>
        <v>72000</v>
      </c>
      <c r="G9" s="337">
        <f t="shared" si="3"/>
        <v>3544.920000000002</v>
      </c>
      <c r="H9" t="s">
        <v>308</v>
      </c>
    </row>
    <row r="10" spans="1:8" ht="12.75">
      <c r="A10" s="535" t="s">
        <v>376</v>
      </c>
      <c r="B10" s="337">
        <v>65235</v>
      </c>
      <c r="C10" s="337">
        <f t="shared" si="0"/>
        <v>39141</v>
      </c>
      <c r="D10" s="337">
        <f t="shared" si="1"/>
        <v>27398.699999999997</v>
      </c>
      <c r="E10" s="31">
        <v>55000</v>
      </c>
      <c r="F10" s="31">
        <f t="shared" si="2"/>
        <v>33000</v>
      </c>
      <c r="G10" s="337">
        <f t="shared" si="3"/>
        <v>2800.6500000000015</v>
      </c>
      <c r="H10" t="s">
        <v>310</v>
      </c>
    </row>
    <row r="11" spans="1:8" ht="12.75">
      <c r="A11" s="535" t="s">
        <v>378</v>
      </c>
      <c r="B11" s="337">
        <v>111144</v>
      </c>
      <c r="C11" s="337">
        <f t="shared" si="0"/>
        <v>66686.4</v>
      </c>
      <c r="D11" s="337">
        <f t="shared" si="1"/>
        <v>46680.479999999996</v>
      </c>
      <c r="E11" s="31">
        <v>100000</v>
      </c>
      <c r="F11" s="31">
        <f t="shared" si="2"/>
        <v>60000</v>
      </c>
      <c r="G11" s="337">
        <f t="shared" si="3"/>
        <v>6659.760000000002</v>
      </c>
      <c r="H11" t="s">
        <v>378</v>
      </c>
    </row>
    <row r="12" spans="1:7" ht="12.75">
      <c r="A12" s="535" t="s">
        <v>132</v>
      </c>
      <c r="B12" s="536">
        <f>SUM(B2:B11)</f>
        <v>794129</v>
      </c>
      <c r="C12" s="536">
        <f>SUM(C2:C11)</f>
        <v>476477.4</v>
      </c>
      <c r="D12" s="536">
        <f>SUM(D2:D11)</f>
        <v>333534.18</v>
      </c>
      <c r="E12" s="536">
        <f>SUM(E2:E11)</f>
        <v>559000</v>
      </c>
      <c r="F12" s="536">
        <f t="shared" si="2"/>
        <v>335400</v>
      </c>
      <c r="G12" s="337">
        <f t="shared" si="3"/>
        <v>932.9100000000035</v>
      </c>
    </row>
    <row r="13" spans="1:4" ht="12.75">
      <c r="A13" s="535"/>
      <c r="B13" s="536"/>
      <c r="C13" s="536"/>
      <c r="D13" s="536"/>
    </row>
    <row r="16" spans="1:4" ht="25.5">
      <c r="A16" s="533" t="s">
        <v>487</v>
      </c>
      <c r="B16" s="534" t="s">
        <v>475</v>
      </c>
      <c r="C16" s="534" t="s">
        <v>470</v>
      </c>
      <c r="D16" s="534" t="s">
        <v>476</v>
      </c>
    </row>
    <row r="17" spans="1:4" ht="12.75">
      <c r="A17" s="535" t="s">
        <v>474</v>
      </c>
      <c r="B17" s="337">
        <v>773057</v>
      </c>
      <c r="C17" s="337">
        <f>B17*60%</f>
        <v>463834.2</v>
      </c>
      <c r="D17" s="337"/>
    </row>
    <row r="18" spans="1:5" ht="12.75">
      <c r="A18" s="535" t="s">
        <v>367</v>
      </c>
      <c r="B18" s="337">
        <v>144053</v>
      </c>
      <c r="C18" s="337">
        <f aca="true" t="shared" si="4" ref="C18:C27">B18*60%</f>
        <v>86431.8</v>
      </c>
      <c r="D18" s="337">
        <f aca="true" t="shared" si="5" ref="D18:D27">(C18*70%)/2</f>
        <v>30251.129999999997</v>
      </c>
      <c r="E18" t="s">
        <v>310</v>
      </c>
    </row>
    <row r="19" spans="1:5" ht="12.75">
      <c r="A19" s="535" t="s">
        <v>369</v>
      </c>
      <c r="B19" s="337">
        <v>96896</v>
      </c>
      <c r="C19" s="337">
        <f t="shared" si="4"/>
        <v>58137.6</v>
      </c>
      <c r="D19" s="337">
        <f t="shared" si="5"/>
        <v>20348.16</v>
      </c>
      <c r="E19" t="s">
        <v>310</v>
      </c>
    </row>
    <row r="20" spans="1:5" ht="12.75">
      <c r="A20" s="535" t="s">
        <v>370</v>
      </c>
      <c r="B20" s="337">
        <v>80684</v>
      </c>
      <c r="C20" s="337">
        <f t="shared" si="4"/>
        <v>48410.4</v>
      </c>
      <c r="D20" s="337">
        <f t="shared" si="5"/>
        <v>16943.64</v>
      </c>
      <c r="E20" t="s">
        <v>310</v>
      </c>
    </row>
    <row r="21" spans="1:5" ht="12.75">
      <c r="A21" s="535" t="s">
        <v>371</v>
      </c>
      <c r="B21" s="337">
        <v>299910</v>
      </c>
      <c r="C21" s="337">
        <f t="shared" si="4"/>
        <v>179946</v>
      </c>
      <c r="D21" s="337">
        <f t="shared" si="5"/>
        <v>62981.1</v>
      </c>
      <c r="E21" t="s">
        <v>310</v>
      </c>
    </row>
    <row r="22" spans="1:5" ht="12.75">
      <c r="A22" s="535" t="s">
        <v>372</v>
      </c>
      <c r="B22" s="337">
        <v>140719</v>
      </c>
      <c r="C22" s="337">
        <f t="shared" si="4"/>
        <v>84431.4</v>
      </c>
      <c r="D22" s="337">
        <f t="shared" si="5"/>
        <v>29550.989999999994</v>
      </c>
      <c r="E22" t="s">
        <v>310</v>
      </c>
    </row>
    <row r="23" spans="1:5" ht="12.75">
      <c r="A23" s="535" t="s">
        <v>374</v>
      </c>
      <c r="B23" s="337">
        <v>280745</v>
      </c>
      <c r="C23" s="337">
        <f t="shared" si="4"/>
        <v>168447</v>
      </c>
      <c r="D23" s="337">
        <f t="shared" si="5"/>
        <v>58956.45</v>
      </c>
      <c r="E23" t="s">
        <v>308</v>
      </c>
    </row>
    <row r="24" spans="1:5" ht="12.75">
      <c r="A24" s="535" t="s">
        <v>376</v>
      </c>
      <c r="B24" s="337">
        <v>124460</v>
      </c>
      <c r="C24" s="337">
        <f t="shared" si="4"/>
        <v>74676</v>
      </c>
      <c r="D24" s="337">
        <f t="shared" si="5"/>
        <v>26136.6</v>
      </c>
      <c r="E24" t="s">
        <v>310</v>
      </c>
    </row>
    <row r="25" spans="1:5" ht="12.75">
      <c r="A25" s="535" t="s">
        <v>488</v>
      </c>
      <c r="B25" s="337">
        <v>81533</v>
      </c>
      <c r="C25" s="337">
        <f t="shared" si="4"/>
        <v>48919.799999999996</v>
      </c>
      <c r="D25" s="337">
        <f t="shared" si="5"/>
        <v>17121.929999999997</v>
      </c>
      <c r="E25" t="s">
        <v>310</v>
      </c>
    </row>
    <row r="26" spans="1:5" ht="12.75">
      <c r="A26" s="535" t="s">
        <v>477</v>
      </c>
      <c r="B26" s="337">
        <v>185504</v>
      </c>
      <c r="C26" s="337">
        <f t="shared" si="4"/>
        <v>111302.4</v>
      </c>
      <c r="D26" s="337">
        <f t="shared" si="5"/>
        <v>38955.84</v>
      </c>
      <c r="E26" t="s">
        <v>310</v>
      </c>
    </row>
    <row r="27" spans="1:5" ht="12.75">
      <c r="A27" s="535" t="s">
        <v>478</v>
      </c>
      <c r="B27" s="337">
        <v>175750</v>
      </c>
      <c r="C27" s="337">
        <f t="shared" si="4"/>
        <v>105450</v>
      </c>
      <c r="D27" s="337">
        <f t="shared" si="5"/>
        <v>36907.5</v>
      </c>
      <c r="E27" s="20" t="s">
        <v>308</v>
      </c>
    </row>
    <row r="28" spans="1:4" ht="12.75">
      <c r="A28" s="535" t="s">
        <v>132</v>
      </c>
      <c r="B28" s="536">
        <f>SUM(B17:B27)</f>
        <v>2383311</v>
      </c>
      <c r="C28" s="536">
        <f>SUM(C17:C27)</f>
        <v>1429986.5999999999</v>
      </c>
      <c r="D28" s="536">
        <f>SUM(D17:D27)/2</f>
        <v>169076.66999999998</v>
      </c>
    </row>
    <row r="30" ht="12.75">
      <c r="A30" s="537" t="s">
        <v>480</v>
      </c>
    </row>
    <row r="34" spans="1:4" ht="12.75">
      <c r="A34" s="2" t="s">
        <v>479</v>
      </c>
      <c r="B34" s="2" t="s">
        <v>475</v>
      </c>
      <c r="C34" s="2" t="s">
        <v>470</v>
      </c>
      <c r="D34" s="2" t="s">
        <v>471</v>
      </c>
    </row>
    <row r="35" spans="1:4" ht="12.75">
      <c r="A35" s="31" t="s">
        <v>474</v>
      </c>
      <c r="B35" s="337">
        <v>25410</v>
      </c>
      <c r="C35" s="337">
        <f aca="true" t="shared" si="6" ref="C35:C40">B35*100%</f>
        <v>25410</v>
      </c>
      <c r="D35" s="337"/>
    </row>
    <row r="36" spans="1:5" ht="12.75">
      <c r="A36" s="31" t="s">
        <v>371</v>
      </c>
      <c r="B36" s="337">
        <v>107336.25</v>
      </c>
      <c r="C36" s="337">
        <f t="shared" si="6"/>
        <v>107336.25</v>
      </c>
      <c r="D36" s="337">
        <f>C36*50%</f>
        <v>53668.125</v>
      </c>
      <c r="E36" t="s">
        <v>310</v>
      </c>
    </row>
    <row r="37" spans="1:5" ht="12.75">
      <c r="A37" s="31" t="s">
        <v>372</v>
      </c>
      <c r="B37" s="337">
        <v>37131.25</v>
      </c>
      <c r="C37" s="337">
        <f t="shared" si="6"/>
        <v>37131.25</v>
      </c>
      <c r="D37" s="337">
        <f>C37*50%</f>
        <v>18565.625</v>
      </c>
      <c r="E37" t="s">
        <v>310</v>
      </c>
    </row>
    <row r="38" spans="1:5" ht="12.75">
      <c r="A38" s="31" t="s">
        <v>374</v>
      </c>
      <c r="B38" s="337">
        <v>78911.25</v>
      </c>
      <c r="C38" s="337">
        <f t="shared" si="6"/>
        <v>78911.25</v>
      </c>
      <c r="D38" s="337">
        <f>C38*50%</f>
        <v>39455.625</v>
      </c>
      <c r="E38" t="s">
        <v>308</v>
      </c>
    </row>
    <row r="39" spans="1:5" ht="12.75">
      <c r="A39" s="31" t="s">
        <v>477</v>
      </c>
      <c r="B39" s="337">
        <v>57210</v>
      </c>
      <c r="C39" s="337">
        <f t="shared" si="6"/>
        <v>57210</v>
      </c>
      <c r="D39" s="337">
        <f>C39*50%</f>
        <v>28605</v>
      </c>
      <c r="E39" t="s">
        <v>310</v>
      </c>
    </row>
    <row r="40" spans="1:5" ht="12.75">
      <c r="A40" s="31" t="s">
        <v>478</v>
      </c>
      <c r="B40" s="337">
        <v>65410</v>
      </c>
      <c r="C40" s="337">
        <f t="shared" si="6"/>
        <v>65410</v>
      </c>
      <c r="D40" s="337">
        <f>C40*50%</f>
        <v>32705</v>
      </c>
      <c r="E40" s="20" t="s">
        <v>308</v>
      </c>
    </row>
    <row r="41" spans="1:4" ht="12.75">
      <c r="A41" s="31" t="s">
        <v>132</v>
      </c>
      <c r="B41" s="536">
        <f>SUM(B35:B40)</f>
        <v>371408.75</v>
      </c>
      <c r="C41" s="536">
        <f>SUM(C35:C40)</f>
        <v>371408.75</v>
      </c>
      <c r="D41" s="536">
        <f>SUM(D35:D40)</f>
        <v>172999.375</v>
      </c>
    </row>
    <row r="42" ht="12.75">
      <c r="B42" s="20" t="s">
        <v>341</v>
      </c>
    </row>
    <row r="43" spans="1:2" ht="12.75">
      <c r="A43" s="20" t="s">
        <v>481</v>
      </c>
      <c r="B43" s="24">
        <f>'[15]PROGETTI'!$I$135+'[15]PROGETTI'!$C$135</f>
        <v>1024580.99</v>
      </c>
    </row>
    <row r="46" spans="1:3" ht="12.75">
      <c r="A46" s="20" t="s">
        <v>482</v>
      </c>
      <c r="B46" s="20" t="s">
        <v>341</v>
      </c>
      <c r="C46" s="20" t="s">
        <v>485</v>
      </c>
    </row>
    <row r="47" spans="1:3" ht="12.75">
      <c r="A47" s="20" t="s">
        <v>483</v>
      </c>
      <c r="B47">
        <f>28868.06+57600+190000+140000</f>
        <v>416468.06</v>
      </c>
      <c r="C47">
        <f>38713.89</f>
        <v>38713.89</v>
      </c>
    </row>
    <row r="50" spans="1:9" ht="15">
      <c r="A50" s="540"/>
      <c r="B50" s="540"/>
      <c r="C50" s="540"/>
      <c r="D50" s="540"/>
      <c r="E50" s="540"/>
      <c r="F50" s="540"/>
      <c r="G50" s="540"/>
      <c r="H50" s="540"/>
      <c r="I50" s="540"/>
    </row>
    <row r="52" spans="1:9" ht="12.75">
      <c r="A52" s="542" t="s">
        <v>479</v>
      </c>
      <c r="B52" s="542">
        <v>2019</v>
      </c>
      <c r="C52" s="542" t="s">
        <v>470</v>
      </c>
      <c r="D52" s="542" t="s">
        <v>471</v>
      </c>
      <c r="E52" s="542" t="s">
        <v>489</v>
      </c>
      <c r="F52" s="542" t="s">
        <v>490</v>
      </c>
      <c r="G52" s="545" t="s">
        <v>491</v>
      </c>
      <c r="H52" s="542" t="s">
        <v>492</v>
      </c>
      <c r="I52" s="542" t="s">
        <v>493</v>
      </c>
    </row>
    <row r="53" spans="1:9" ht="15">
      <c r="A53" s="541" t="s">
        <v>474</v>
      </c>
      <c r="B53" s="543">
        <v>0</v>
      </c>
      <c r="C53" s="543">
        <v>0</v>
      </c>
      <c r="D53" s="543">
        <v>0</v>
      </c>
      <c r="E53" s="543"/>
      <c r="F53" s="543">
        <v>0</v>
      </c>
      <c r="G53" s="543"/>
      <c r="H53" s="543"/>
      <c r="I53" s="540"/>
    </row>
    <row r="54" spans="1:10" ht="15">
      <c r="A54" s="541" t="s">
        <v>371</v>
      </c>
      <c r="B54" s="543">
        <v>35635</v>
      </c>
      <c r="C54" s="543">
        <v>35635</v>
      </c>
      <c r="D54" s="543">
        <v>17817.5</v>
      </c>
      <c r="E54" s="543">
        <v>1781.75</v>
      </c>
      <c r="F54" s="543">
        <v>16035.75</v>
      </c>
      <c r="G54" s="543">
        <v>15000</v>
      </c>
      <c r="H54" s="543">
        <v>15000</v>
      </c>
      <c r="I54" s="543">
        <v>-1035.75</v>
      </c>
      <c r="J54" s="20" t="s">
        <v>310</v>
      </c>
    </row>
    <row r="55" spans="1:10" ht="15">
      <c r="A55" s="541" t="s">
        <v>372</v>
      </c>
      <c r="B55" s="543">
        <v>15080</v>
      </c>
      <c r="C55" s="543">
        <v>15080</v>
      </c>
      <c r="D55" s="543">
        <v>7540</v>
      </c>
      <c r="E55" s="543">
        <v>754</v>
      </c>
      <c r="F55" s="543">
        <v>6786</v>
      </c>
      <c r="G55" s="543">
        <v>7000</v>
      </c>
      <c r="H55" s="543">
        <v>7000</v>
      </c>
      <c r="I55" s="543">
        <v>214</v>
      </c>
      <c r="J55" t="s">
        <v>310</v>
      </c>
    </row>
    <row r="56" spans="1:10" ht="15">
      <c r="A56" s="541" t="s">
        <v>374</v>
      </c>
      <c r="B56" s="543">
        <v>20860</v>
      </c>
      <c r="C56" s="543">
        <v>20860</v>
      </c>
      <c r="D56" s="543">
        <v>10430</v>
      </c>
      <c r="E56" s="543">
        <v>1043</v>
      </c>
      <c r="F56" s="543">
        <v>9387</v>
      </c>
      <c r="G56" s="543">
        <v>18000</v>
      </c>
      <c r="H56" s="543">
        <v>18000</v>
      </c>
      <c r="I56" s="543">
        <v>8613</v>
      </c>
      <c r="J56" s="20" t="s">
        <v>495</v>
      </c>
    </row>
    <row r="57" spans="1:10" ht="15">
      <c r="A57" s="541" t="s">
        <v>378</v>
      </c>
      <c r="B57" s="543">
        <v>76290</v>
      </c>
      <c r="C57" s="543">
        <v>76290</v>
      </c>
      <c r="D57" s="543">
        <v>38145</v>
      </c>
      <c r="E57" s="543">
        <v>3814.5</v>
      </c>
      <c r="F57" s="543">
        <v>34330.5</v>
      </c>
      <c r="G57" s="543">
        <v>70000</v>
      </c>
      <c r="H57" s="543">
        <v>70000</v>
      </c>
      <c r="I57" s="543">
        <v>35669.5</v>
      </c>
      <c r="J57" s="20" t="s">
        <v>494</v>
      </c>
    </row>
    <row r="58" spans="1:9" ht="15">
      <c r="A58" s="541" t="s">
        <v>132</v>
      </c>
      <c r="B58" s="544">
        <v>147865</v>
      </c>
      <c r="C58" s="544">
        <v>147865</v>
      </c>
      <c r="D58" s="544">
        <v>73932.5</v>
      </c>
      <c r="E58" s="544">
        <v>7393.25</v>
      </c>
      <c r="F58" s="544">
        <v>66539.25</v>
      </c>
      <c r="G58" s="544">
        <v>110000</v>
      </c>
      <c r="H58" s="544">
        <v>110000</v>
      </c>
      <c r="I58" s="544">
        <v>43460.75</v>
      </c>
    </row>
    <row r="59" spans="1:9" ht="15">
      <c r="A59" s="541"/>
      <c r="B59" s="544"/>
      <c r="C59" s="544"/>
      <c r="D59" s="544"/>
      <c r="E59" s="540"/>
      <c r="F59" s="540"/>
      <c r="G59" s="540"/>
      <c r="H59" s="540"/>
      <c r="I59" s="540"/>
    </row>
    <row r="62" spans="3:5" ht="12.75">
      <c r="C62" s="24">
        <f>B47+C47+I58+B43+D41+D28+C74+G12</f>
        <v>2138459.628</v>
      </c>
      <c r="D62" s="24">
        <f>'[15]PROGETTI'!$J$217</f>
        <v>2646620.7430000002</v>
      </c>
      <c r="E62" s="24"/>
    </row>
    <row r="66" ht="12.75">
      <c r="B66" s="20" t="s">
        <v>496</v>
      </c>
    </row>
    <row r="67" ht="12.75">
      <c r="A67" t="s">
        <v>497</v>
      </c>
    </row>
    <row r="68" spans="1:4" ht="15">
      <c r="A68" t="s">
        <v>498</v>
      </c>
      <c r="C68" s="539">
        <f>56028.65</f>
        <v>56028.65</v>
      </c>
      <c r="D68" s="20" t="s">
        <v>504</v>
      </c>
    </row>
    <row r="69" spans="1:4" ht="15">
      <c r="A69" t="s">
        <v>499</v>
      </c>
      <c r="C69" s="539">
        <v>63881.94</v>
      </c>
      <c r="D69" s="20" t="s">
        <v>504</v>
      </c>
    </row>
    <row r="70" spans="1:4" ht="15">
      <c r="A70" t="s">
        <v>500</v>
      </c>
      <c r="C70" s="539">
        <v>30123.873</v>
      </c>
      <c r="D70" s="20" t="s">
        <v>505</v>
      </c>
    </row>
    <row r="71" spans="1:4" ht="15">
      <c r="A71" t="s">
        <v>501</v>
      </c>
      <c r="C71" s="539">
        <v>30123.87</v>
      </c>
      <c r="D71" s="20" t="s">
        <v>383</v>
      </c>
    </row>
    <row r="72" spans="1:4" ht="15">
      <c r="A72" t="s">
        <v>502</v>
      </c>
      <c r="C72" s="539">
        <v>53781.47</v>
      </c>
      <c r="D72" s="20" t="s">
        <v>505</v>
      </c>
    </row>
    <row r="73" spans="1:4" ht="15">
      <c r="A73" t="s">
        <v>503</v>
      </c>
      <c r="C73" s="539">
        <v>38287.18</v>
      </c>
      <c r="D73" s="20" t="s">
        <v>383</v>
      </c>
    </row>
    <row r="74" ht="15">
      <c r="C74" s="539">
        <f>SUM(C68:C73)</f>
        <v>272226.983</v>
      </c>
    </row>
    <row r="79" spans="1:3" ht="12.75">
      <c r="A79" s="20" t="s">
        <v>497</v>
      </c>
      <c r="C79" t="s">
        <v>73</v>
      </c>
    </row>
    <row r="80" spans="1:3" ht="12.75">
      <c r="A80" s="20" t="s">
        <v>504</v>
      </c>
      <c r="B80" s="24">
        <f>C68+C69+I56+B47+D38+D40+D23+D27+G9</f>
        <v>716561.145</v>
      </c>
      <c r="C80" s="547">
        <f>G9+D23+D27</f>
        <v>99408.87</v>
      </c>
    </row>
    <row r="81" spans="1:3" ht="12.75">
      <c r="A81" s="20" t="s">
        <v>505</v>
      </c>
      <c r="B81" s="24">
        <f>C70+C72+I55+D39+D37+D36+D18+D19+D20+D21+D22+D24+D25+D26+G3+G4+G5+G6+G7+G8+G10+I54</f>
        <v>416939.96299999993</v>
      </c>
      <c r="C81" s="547">
        <f>G3+G4+G5+G6+G7+G8+G10+D18+D19+D20+D21+D22+D24+D25+D26</f>
        <v>233017.62</v>
      </c>
    </row>
    <row r="82" spans="1:3" ht="12.75">
      <c r="A82" s="20" t="s">
        <v>383</v>
      </c>
      <c r="B82" s="24">
        <f>C73+C71+I57+B43+G11</f>
        <v>1135321.3</v>
      </c>
      <c r="C82" s="547">
        <f>G11</f>
        <v>6659.760000000002</v>
      </c>
    </row>
    <row r="86" ht="12.75">
      <c r="A86" s="20" t="s">
        <v>506</v>
      </c>
    </row>
    <row r="87" spans="1:2" ht="12.75">
      <c r="A87" s="20" t="s">
        <v>504</v>
      </c>
      <c r="B87">
        <f>C47</f>
        <v>38713.89</v>
      </c>
    </row>
    <row r="90" spans="2:3" ht="12.75">
      <c r="B90">
        <f>SUM(B78:B87)</f>
        <v>2307536.298</v>
      </c>
      <c r="C90" s="24"/>
    </row>
  </sheetData>
  <sheetProtection/>
  <dataValidations count="1">
    <dataValidation type="list" allowBlank="1" showInputMessage="1" showErrorMessage="1" sqref="H11 H9 E23 E38">
      <formula1>$A$54:$A$57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7109375" style="0" bestFit="1" customWidth="1"/>
    <col min="2" max="2" width="14.57421875" style="0" bestFit="1" customWidth="1"/>
  </cols>
  <sheetData>
    <row r="1" spans="1:4" ht="12.75">
      <c r="A1" s="20"/>
      <c r="B1" s="20"/>
      <c r="C1" s="20" t="s">
        <v>8</v>
      </c>
      <c r="D1" s="20" t="s">
        <v>9</v>
      </c>
    </row>
    <row r="2" spans="1:5" ht="12.75">
      <c r="A2" s="20" t="s">
        <v>166</v>
      </c>
      <c r="B2" s="20" t="s">
        <v>99</v>
      </c>
      <c r="C2">
        <v>15000</v>
      </c>
      <c r="D2">
        <v>15000</v>
      </c>
      <c r="E2" t="s">
        <v>169</v>
      </c>
    </row>
    <row r="3" spans="1:5" ht="12.75">
      <c r="A3" s="20" t="s">
        <v>167</v>
      </c>
      <c r="B3" t="s">
        <v>159</v>
      </c>
      <c r="C3">
        <v>80000</v>
      </c>
      <c r="E3" t="s">
        <v>170</v>
      </c>
    </row>
    <row r="4" spans="1:5" ht="12.75">
      <c r="A4" t="s">
        <v>168</v>
      </c>
      <c r="B4" t="s">
        <v>159</v>
      </c>
      <c r="C4">
        <v>42000</v>
      </c>
      <c r="E4" t="s">
        <v>170</v>
      </c>
    </row>
    <row r="9" spans="7:9" ht="12.75">
      <c r="G9" t="s">
        <v>159</v>
      </c>
      <c r="H9">
        <f>SUMIF(B2:B22,B3,C2:C22)</f>
        <v>122000</v>
      </c>
      <c r="I9" s="20" t="s">
        <v>171</v>
      </c>
    </row>
    <row r="10" spans="7:9" ht="12.75">
      <c r="G10" s="20" t="s">
        <v>99</v>
      </c>
      <c r="H10">
        <f>SUMIF(B2:B22,B2,C2:C22)</f>
        <v>15000</v>
      </c>
      <c r="I10" s="20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34"/>
  <sheetViews>
    <sheetView zoomScale="85" zoomScaleNormal="85" zoomScalePageLayoutView="0" workbookViewId="0" topLeftCell="A37">
      <selection activeCell="H51" sqref="H51"/>
    </sheetView>
  </sheetViews>
  <sheetFormatPr defaultColWidth="4.421875" defaultRowHeight="12.75"/>
  <cols>
    <col min="1" max="3" width="4.421875" style="178" customWidth="1"/>
    <col min="4" max="4" width="58.8515625" style="178" customWidth="1"/>
    <col min="5" max="5" width="16.421875" style="197" customWidth="1"/>
    <col min="6" max="6" width="15.28125" style="197" customWidth="1"/>
    <col min="7" max="7" width="19.421875" style="197" customWidth="1"/>
    <col min="8" max="8" width="16.57421875" style="197" customWidth="1"/>
    <col min="9" max="9" width="15.7109375" style="197" customWidth="1"/>
    <col min="10" max="10" width="15.28125" style="178" customWidth="1"/>
    <col min="11" max="11" width="22.421875" style="178" customWidth="1"/>
    <col min="12" max="12" width="25.28125" style="178" customWidth="1"/>
    <col min="13" max="13" width="8.00390625" style="178" bestFit="1" customWidth="1"/>
    <col min="14" max="14" width="10.8515625" style="178" bestFit="1" customWidth="1"/>
    <col min="15" max="15" width="10.28125" style="178" bestFit="1" customWidth="1"/>
    <col min="16" max="16384" width="4.421875" style="178" customWidth="1"/>
  </cols>
  <sheetData>
    <row r="1" spans="1:11" ht="16.5">
      <c r="A1" s="573"/>
      <c r="B1" s="574"/>
      <c r="C1" s="574"/>
      <c r="D1" s="574"/>
      <c r="E1" s="574"/>
      <c r="F1" s="574"/>
      <c r="G1" s="574"/>
      <c r="H1" s="574"/>
      <c r="I1" s="574"/>
      <c r="J1" s="575"/>
      <c r="K1" s="488"/>
    </row>
    <row r="2" spans="1:11" ht="16.5">
      <c r="A2" s="576" t="s">
        <v>191</v>
      </c>
      <c r="B2" s="577"/>
      <c r="C2" s="577"/>
      <c r="D2" s="577"/>
      <c r="E2" s="577"/>
      <c r="F2" s="577"/>
      <c r="G2" s="577"/>
      <c r="H2" s="577"/>
      <c r="I2" s="577"/>
      <c r="J2" s="578"/>
      <c r="K2" s="489"/>
    </row>
    <row r="3" spans="1:11" ht="16.5">
      <c r="A3" s="576"/>
      <c r="B3" s="577"/>
      <c r="C3" s="577"/>
      <c r="D3" s="577"/>
      <c r="E3" s="577"/>
      <c r="F3" s="577"/>
      <c r="G3" s="577"/>
      <c r="H3" s="577"/>
      <c r="I3" s="577"/>
      <c r="J3" s="578"/>
      <c r="K3" s="489"/>
    </row>
    <row r="4" spans="1:11" ht="12.75" customHeight="1">
      <c r="A4" s="579" t="s">
        <v>450</v>
      </c>
      <c r="B4" s="580"/>
      <c r="C4" s="580"/>
      <c r="D4" s="580"/>
      <c r="E4" s="580"/>
      <c r="F4" s="580"/>
      <c r="G4" s="580"/>
      <c r="H4" s="580"/>
      <c r="I4" s="580"/>
      <c r="J4" s="581"/>
      <c r="K4" s="490"/>
    </row>
    <row r="5" spans="1:11" ht="12.75" customHeight="1">
      <c r="A5" s="582"/>
      <c r="B5" s="583"/>
      <c r="C5" s="583"/>
      <c r="D5" s="583"/>
      <c r="E5" s="583"/>
      <c r="F5" s="583"/>
      <c r="G5" s="583"/>
      <c r="H5" s="583"/>
      <c r="I5" s="583"/>
      <c r="J5" s="584"/>
      <c r="K5" s="490"/>
    </row>
    <row r="6" spans="1:11" ht="16.5">
      <c r="A6" s="585" t="s">
        <v>192</v>
      </c>
      <c r="B6" s="586"/>
      <c r="C6" s="586"/>
      <c r="D6" s="586"/>
      <c r="E6" s="586"/>
      <c r="F6" s="586"/>
      <c r="G6" s="586"/>
      <c r="H6" s="586"/>
      <c r="I6" s="586"/>
      <c r="J6" s="587"/>
      <c r="K6" s="491"/>
    </row>
    <row r="7" spans="1:11" ht="16.5">
      <c r="A7" s="585"/>
      <c r="B7" s="586"/>
      <c r="C7" s="586"/>
      <c r="D7" s="586"/>
      <c r="E7" s="586"/>
      <c r="F7" s="586"/>
      <c r="G7" s="586"/>
      <c r="H7" s="586"/>
      <c r="I7" s="586"/>
      <c r="J7" s="587"/>
      <c r="K7" s="491"/>
    </row>
    <row r="8" spans="1:11" ht="16.5">
      <c r="A8" s="585" t="s">
        <v>356</v>
      </c>
      <c r="B8" s="586"/>
      <c r="C8" s="586"/>
      <c r="D8" s="586"/>
      <c r="E8" s="586"/>
      <c r="F8" s="586"/>
      <c r="G8" s="586"/>
      <c r="H8" s="586"/>
      <c r="I8" s="586"/>
      <c r="J8" s="587"/>
      <c r="K8" s="491"/>
    </row>
    <row r="9" spans="1:11" ht="16.5">
      <c r="A9" s="585"/>
      <c r="B9" s="586"/>
      <c r="C9" s="586"/>
      <c r="D9" s="586"/>
      <c r="E9" s="586"/>
      <c r="F9" s="586"/>
      <c r="G9" s="586"/>
      <c r="H9" s="586"/>
      <c r="I9" s="586"/>
      <c r="J9" s="587"/>
      <c r="K9" s="491"/>
    </row>
    <row r="10" spans="1:11" ht="69">
      <c r="A10" s="360"/>
      <c r="B10" s="361"/>
      <c r="C10" s="361"/>
      <c r="D10" s="492"/>
      <c r="E10" s="363" t="s">
        <v>451</v>
      </c>
      <c r="F10" s="364" t="s">
        <v>452</v>
      </c>
      <c r="G10" s="364" t="s">
        <v>453</v>
      </c>
      <c r="H10" s="364" t="s">
        <v>401</v>
      </c>
      <c r="I10" s="364" t="s">
        <v>402</v>
      </c>
      <c r="J10" s="365" t="s">
        <v>454</v>
      </c>
      <c r="K10" s="493"/>
    </row>
    <row r="11" spans="1:10" ht="16.5">
      <c r="A11" s="367"/>
      <c r="B11" s="368"/>
      <c r="C11" s="368"/>
      <c r="D11" s="368"/>
      <c r="E11" s="179"/>
      <c r="F11" s="369"/>
      <c r="G11" s="369"/>
      <c r="H11" s="369"/>
      <c r="I11" s="369"/>
      <c r="J11" s="370"/>
    </row>
    <row r="12" spans="1:10" ht="16.5">
      <c r="A12" s="367"/>
      <c r="B12" s="368"/>
      <c r="C12" s="368"/>
      <c r="D12" s="368"/>
      <c r="E12" s="180"/>
      <c r="F12" s="371"/>
      <c r="G12" s="371"/>
      <c r="H12" s="371"/>
      <c r="I12" s="371"/>
      <c r="J12" s="370"/>
    </row>
    <row r="13" spans="1:10" ht="16.5">
      <c r="A13" s="372" t="s">
        <v>193</v>
      </c>
      <c r="B13" s="373" t="s">
        <v>194</v>
      </c>
      <c r="C13" s="373"/>
      <c r="D13" s="373"/>
      <c r="E13" s="180"/>
      <c r="F13" s="371"/>
      <c r="G13" s="371"/>
      <c r="H13" s="371"/>
      <c r="I13" s="371"/>
      <c r="J13" s="370"/>
    </row>
    <row r="14" spans="1:10" ht="16.5">
      <c r="A14" s="372"/>
      <c r="B14" s="373"/>
      <c r="C14" s="373"/>
      <c r="D14" s="373"/>
      <c r="E14" s="181"/>
      <c r="F14" s="374"/>
      <c r="G14" s="374"/>
      <c r="H14" s="374"/>
      <c r="I14" s="374"/>
      <c r="J14" s="370"/>
    </row>
    <row r="15" spans="1:11" ht="16.5">
      <c r="A15" s="375"/>
      <c r="B15" s="376" t="s">
        <v>195</v>
      </c>
      <c r="C15" s="377" t="s">
        <v>196</v>
      </c>
      <c r="D15" s="373" t="s">
        <v>197</v>
      </c>
      <c r="E15" s="183">
        <v>1390442</v>
      </c>
      <c r="F15" s="378">
        <v>1360442</v>
      </c>
      <c r="G15" s="378">
        <f>'[16]A1-2,8%'!F8</f>
        <v>1360442</v>
      </c>
      <c r="H15" s="378">
        <f>'[16]A1-2,8%'!E8</f>
        <v>1360442</v>
      </c>
      <c r="I15" s="378">
        <f>H15</f>
        <v>1360442</v>
      </c>
      <c r="J15" s="392">
        <v>1360442</v>
      </c>
      <c r="K15" s="494"/>
    </row>
    <row r="16" spans="1:12" ht="16.5">
      <c r="A16" s="375"/>
      <c r="B16" s="376"/>
      <c r="C16" s="377" t="s">
        <v>198</v>
      </c>
      <c r="D16" s="373" t="s">
        <v>455</v>
      </c>
      <c r="E16" s="184"/>
      <c r="F16" s="382">
        <v>350000</v>
      </c>
      <c r="G16" s="382">
        <f>H16</f>
        <v>632592</v>
      </c>
      <c r="H16" s="382">
        <v>632592</v>
      </c>
      <c r="I16" s="382">
        <f>H16</f>
        <v>632592</v>
      </c>
      <c r="J16" s="392">
        <v>350000</v>
      </c>
      <c r="K16" s="494"/>
      <c r="L16" s="384"/>
    </row>
    <row r="17" spans="1:11" ht="16.5">
      <c r="A17" s="375"/>
      <c r="B17" s="376" t="s">
        <v>195</v>
      </c>
      <c r="C17" s="373" t="s">
        <v>199</v>
      </c>
      <c r="D17" s="373" t="s">
        <v>200</v>
      </c>
      <c r="E17" s="187"/>
      <c r="F17" s="382">
        <v>210500</v>
      </c>
      <c r="G17" s="382">
        <f>'[16]A2'!F18</f>
        <v>320000</v>
      </c>
      <c r="H17" s="382">
        <f>'[16]A2'!E18</f>
        <v>595000</v>
      </c>
      <c r="I17" s="382">
        <v>250000</v>
      </c>
      <c r="J17" s="392">
        <v>250000</v>
      </c>
      <c r="K17" s="494"/>
    </row>
    <row r="18" spans="1:11" ht="16.5">
      <c r="A18" s="375"/>
      <c r="B18" s="376"/>
      <c r="C18" s="373" t="s">
        <v>201</v>
      </c>
      <c r="D18" s="373" t="s">
        <v>202</v>
      </c>
      <c r="E18" s="187">
        <v>2588957</v>
      </c>
      <c r="F18" s="382">
        <f>'[16]PERC. BUDGET Progetti 2020-22'!E40+15000</f>
        <v>2346384</v>
      </c>
      <c r="G18" s="382">
        <v>2620000</v>
      </c>
      <c r="H18" s="382">
        <f>'[16]A3 - Progetti 2020-2022'!E39</f>
        <v>2331383.99</v>
      </c>
      <c r="I18" s="382">
        <f>'[16]A3 - Progetti 2020-2022'!G39</f>
        <v>1482989.4100000001</v>
      </c>
      <c r="J18" s="392">
        <f>I18</f>
        <v>1482989.4100000001</v>
      </c>
      <c r="K18" s="494"/>
    </row>
    <row r="19" spans="1:11" ht="16.5">
      <c r="A19" s="375"/>
      <c r="B19" s="376"/>
      <c r="C19" s="373" t="s">
        <v>203</v>
      </c>
      <c r="D19" s="373" t="s">
        <v>204</v>
      </c>
      <c r="E19" s="187">
        <v>11157</v>
      </c>
      <c r="F19" s="382">
        <f>'[16]A4'!G13</f>
        <v>14272</v>
      </c>
      <c r="G19" s="382">
        <f>'[16]A4'!G13</f>
        <v>14272</v>
      </c>
      <c r="H19" s="382">
        <f>'[16]A4'!F13</f>
        <v>10422.216799999998</v>
      </c>
      <c r="I19" s="382">
        <f>H19</f>
        <v>10422.216799999998</v>
      </c>
      <c r="J19" s="495">
        <f>I19</f>
        <v>10422.216799999998</v>
      </c>
      <c r="K19" s="494"/>
    </row>
    <row r="20" spans="1:11" ht="16.5">
      <c r="A20" s="375"/>
      <c r="B20" s="376"/>
      <c r="C20" s="373" t="s">
        <v>205</v>
      </c>
      <c r="D20" s="373" t="s">
        <v>206</v>
      </c>
      <c r="E20" s="187">
        <v>98314</v>
      </c>
      <c r="F20" s="382">
        <v>97544</v>
      </c>
      <c r="G20" s="382">
        <f>'[16]A5'!G13</f>
        <v>118200</v>
      </c>
      <c r="H20" s="382">
        <f>'[16]A5'!F13</f>
        <v>121740.64</v>
      </c>
      <c r="I20" s="382">
        <f>H20</f>
        <v>121740.64</v>
      </c>
      <c r="J20" s="495">
        <f>I20</f>
        <v>121740.64</v>
      </c>
      <c r="K20" s="494"/>
    </row>
    <row r="21" spans="1:11" ht="16.5">
      <c r="A21" s="375"/>
      <c r="B21" s="376" t="s">
        <v>195</v>
      </c>
      <c r="C21" s="373" t="s">
        <v>207</v>
      </c>
      <c r="D21" s="373" t="s">
        <v>208</v>
      </c>
      <c r="E21" s="187">
        <v>3750</v>
      </c>
      <c r="F21" s="382">
        <v>20000</v>
      </c>
      <c r="G21" s="382">
        <f>'[16]A6'!F16</f>
        <v>8750</v>
      </c>
      <c r="H21" s="382">
        <v>8000</v>
      </c>
      <c r="I21" s="382">
        <f>H21</f>
        <v>8000</v>
      </c>
      <c r="J21" s="392">
        <v>8000</v>
      </c>
      <c r="K21" s="496"/>
    </row>
    <row r="22" spans="1:11" ht="16.5">
      <c r="A22" s="375"/>
      <c r="B22" s="376"/>
      <c r="C22" s="376"/>
      <c r="D22" s="376"/>
      <c r="E22" s="307"/>
      <c r="F22" s="388"/>
      <c r="G22" s="388"/>
      <c r="H22" s="388"/>
      <c r="I22" s="388"/>
      <c r="J22" s="392"/>
      <c r="K22" s="494"/>
    </row>
    <row r="23" spans="1:12" ht="16.5">
      <c r="A23" s="375"/>
      <c r="B23" s="588" t="s">
        <v>209</v>
      </c>
      <c r="C23" s="588"/>
      <c r="D23" s="588"/>
      <c r="E23" s="315">
        <f>SUM(E15:E21)+1</f>
        <v>4092621</v>
      </c>
      <c r="F23" s="315">
        <f>SUM(F15:F21)</f>
        <v>4399142</v>
      </c>
      <c r="G23" s="315">
        <f>SUM(G15:G21)</f>
        <v>5074256</v>
      </c>
      <c r="H23" s="315">
        <f>H15+H16+H17+H18+H19+H20+H21</f>
        <v>5059580.8467999995</v>
      </c>
      <c r="I23" s="315">
        <f>SUM(I15:I21)</f>
        <v>3866186.2668000003</v>
      </c>
      <c r="J23" s="497">
        <f>SUM(J15:J21)</f>
        <v>3583594.2668000003</v>
      </c>
      <c r="K23" s="494"/>
      <c r="L23" s="233"/>
    </row>
    <row r="24" spans="1:11" ht="16.5">
      <c r="A24" s="375"/>
      <c r="B24" s="373"/>
      <c r="C24" s="373"/>
      <c r="D24" s="373"/>
      <c r="E24" s="307"/>
      <c r="F24" s="388"/>
      <c r="G24" s="388"/>
      <c r="H24" s="388"/>
      <c r="I24" s="388"/>
      <c r="J24" s="389"/>
      <c r="K24" s="498"/>
    </row>
    <row r="25" spans="1:11" ht="16.5">
      <c r="A25" s="375"/>
      <c r="B25" s="373"/>
      <c r="C25" s="373"/>
      <c r="D25" s="373"/>
      <c r="E25" s="307"/>
      <c r="F25" s="388"/>
      <c r="G25" s="388"/>
      <c r="H25" s="388"/>
      <c r="I25" s="388"/>
      <c r="J25" s="389"/>
      <c r="K25" s="498"/>
    </row>
    <row r="26" spans="1:12" ht="16.5">
      <c r="A26" s="372" t="s">
        <v>210</v>
      </c>
      <c r="B26" s="373" t="s">
        <v>211</v>
      </c>
      <c r="C26" s="373"/>
      <c r="D26" s="373"/>
      <c r="E26" s="499"/>
      <c r="F26" s="388"/>
      <c r="G26" s="388"/>
      <c r="H26" s="388"/>
      <c r="I26" s="388"/>
      <c r="J26" s="389"/>
      <c r="K26" s="498"/>
      <c r="L26" s="189"/>
    </row>
    <row r="27" spans="1:11" ht="16.5">
      <c r="A27" s="372"/>
      <c r="B27" s="373"/>
      <c r="C27" s="373"/>
      <c r="D27" s="373"/>
      <c r="E27" s="307"/>
      <c r="F27" s="388"/>
      <c r="G27" s="388"/>
      <c r="H27" s="388"/>
      <c r="I27" s="388"/>
      <c r="J27" s="389"/>
      <c r="K27" s="498"/>
    </row>
    <row r="28" spans="1:11" ht="16.5">
      <c r="A28" s="372"/>
      <c r="B28" s="373" t="s">
        <v>212</v>
      </c>
      <c r="C28" s="373" t="s">
        <v>213</v>
      </c>
      <c r="D28" s="373"/>
      <c r="E28" s="308"/>
      <c r="F28" s="391"/>
      <c r="G28" s="391"/>
      <c r="H28" s="391"/>
      <c r="I28" s="391"/>
      <c r="J28" s="389"/>
      <c r="K28" s="498"/>
    </row>
    <row r="29" spans="1:12" ht="16.5">
      <c r="A29" s="372"/>
      <c r="B29" s="373"/>
      <c r="C29" s="373" t="s">
        <v>196</v>
      </c>
      <c r="D29" s="373" t="s">
        <v>214</v>
      </c>
      <c r="E29" s="187">
        <v>18589</v>
      </c>
      <c r="F29" s="382">
        <f>'[16]B1.1'!H15</f>
        <v>59600</v>
      </c>
      <c r="G29" s="382">
        <f>'[16]B1.1'!G15</f>
        <v>20000</v>
      </c>
      <c r="H29" s="382">
        <f>'[16]B1.1'!F15</f>
        <v>40000</v>
      </c>
      <c r="I29" s="382">
        <f>'[16]B1.1'!E15</f>
        <v>50000</v>
      </c>
      <c r="J29" s="392">
        <v>50000</v>
      </c>
      <c r="K29" s="500"/>
      <c r="L29" s="178" t="s">
        <v>405</v>
      </c>
    </row>
    <row r="30" spans="1:12" ht="16.5">
      <c r="A30" s="375"/>
      <c r="B30" s="376" t="s">
        <v>195</v>
      </c>
      <c r="C30" s="377" t="s">
        <v>199</v>
      </c>
      <c r="D30" s="373" t="s">
        <v>215</v>
      </c>
      <c r="E30" s="187">
        <f>1037125+298731+91621+108995</f>
        <v>1536472</v>
      </c>
      <c r="F30" s="382">
        <f>'[16]Personale 2019-2021'!B14</f>
        <v>1497766.4415152734</v>
      </c>
      <c r="G30" s="382">
        <f>F30</f>
        <v>1497766.4415152734</v>
      </c>
      <c r="H30" s="382">
        <f>'[17]Foglio1'!$B$15</f>
        <v>1495215</v>
      </c>
      <c r="I30" s="382">
        <f>'[17]Foglio1'!$C$15</f>
        <v>1538921</v>
      </c>
      <c r="J30" s="392">
        <f>'[17]Foglio1'!$D$15</f>
        <v>1540000</v>
      </c>
      <c r="K30" s="496"/>
      <c r="L30" s="394">
        <v>1457774.24</v>
      </c>
    </row>
    <row r="31" spans="1:15" ht="16.5">
      <c r="A31" s="375"/>
      <c r="B31" s="376" t="s">
        <v>195</v>
      </c>
      <c r="C31" s="373" t="s">
        <v>201</v>
      </c>
      <c r="D31" s="373" t="s">
        <v>216</v>
      </c>
      <c r="E31" s="187"/>
      <c r="F31" s="382"/>
      <c r="G31" s="382"/>
      <c r="H31" s="382"/>
      <c r="I31" s="382"/>
      <c r="J31" s="392"/>
      <c r="K31" s="500"/>
      <c r="L31" s="178">
        <f>49.1*778</f>
        <v>38199.8</v>
      </c>
      <c r="M31" s="178">
        <f>L31*0.22</f>
        <v>8403.956</v>
      </c>
      <c r="N31" s="501">
        <f>M31+L31</f>
        <v>46603.756</v>
      </c>
      <c r="O31" s="178" t="s">
        <v>406</v>
      </c>
    </row>
    <row r="32" spans="1:15" ht="16.5">
      <c r="A32" s="375"/>
      <c r="B32" s="376"/>
      <c r="C32" s="376" t="s">
        <v>217</v>
      </c>
      <c r="D32" s="376" t="s">
        <v>218</v>
      </c>
      <c r="E32" s="187">
        <v>36497</v>
      </c>
      <c r="F32" s="382">
        <f>'[16]B1.3.1'!I32</f>
        <v>64000</v>
      </c>
      <c r="G32" s="382">
        <f>'[16]B1.3.1'!H15</f>
        <v>64000</v>
      </c>
      <c r="H32" s="382">
        <f>'[16]B1.3.1'!G15</f>
        <v>64000</v>
      </c>
      <c r="I32" s="382">
        <f>'[16]B1.3.1'!F15</f>
        <v>64000</v>
      </c>
      <c r="J32" s="392">
        <v>64000</v>
      </c>
      <c r="K32" s="494"/>
      <c r="L32" s="178">
        <f>67.5*778</f>
        <v>52515</v>
      </c>
      <c r="M32" s="178">
        <f>L32*0.22</f>
        <v>11553.3</v>
      </c>
      <c r="N32" s="501">
        <f>M32+L32</f>
        <v>64068.3</v>
      </c>
      <c r="O32" s="178" t="s">
        <v>407</v>
      </c>
    </row>
    <row r="33" spans="1:15" ht="16.5">
      <c r="A33" s="375"/>
      <c r="B33" s="376"/>
      <c r="C33" s="376" t="s">
        <v>219</v>
      </c>
      <c r="D33" s="376" t="s">
        <v>220</v>
      </c>
      <c r="E33" s="187">
        <v>72094</v>
      </c>
      <c r="F33" s="382">
        <v>84069</v>
      </c>
      <c r="G33" s="382">
        <f>'[16]B1.3.2'!G13</f>
        <v>88600</v>
      </c>
      <c r="H33" s="382">
        <f>G33</f>
        <v>88600</v>
      </c>
      <c r="I33" s="382">
        <f>H33</f>
        <v>88600</v>
      </c>
      <c r="J33" s="392">
        <f>I33</f>
        <v>88600</v>
      </c>
      <c r="K33" s="496"/>
      <c r="L33" s="178" t="s">
        <v>408</v>
      </c>
      <c r="N33" s="178" t="s">
        <v>409</v>
      </c>
      <c r="O33" s="501">
        <f>20000</f>
        <v>20000</v>
      </c>
    </row>
    <row r="34" spans="1:11" ht="16.5">
      <c r="A34" s="375"/>
      <c r="B34" s="376"/>
      <c r="C34" s="376" t="s">
        <v>221</v>
      </c>
      <c r="D34" s="376" t="s">
        <v>222</v>
      </c>
      <c r="E34" s="187">
        <v>318089</v>
      </c>
      <c r="F34" s="382">
        <f>'[16]B1.3.3'!H26</f>
        <v>389699.88836104516</v>
      </c>
      <c r="G34" s="382">
        <f>'[16]B1.3.3'!G26</f>
        <v>334181</v>
      </c>
      <c r="H34" s="382">
        <f>'[16]B1.3.3'!F26</f>
        <v>333799.1</v>
      </c>
      <c r="I34" s="382">
        <v>333799</v>
      </c>
      <c r="J34" s="392">
        <f>I34</f>
        <v>333799</v>
      </c>
      <c r="K34" s="496"/>
    </row>
    <row r="35" spans="1:11" ht="16.5">
      <c r="A35" s="375"/>
      <c r="B35" s="376"/>
      <c r="C35" s="376"/>
      <c r="D35" s="502" t="s">
        <v>313</v>
      </c>
      <c r="E35" s="309">
        <v>73700</v>
      </c>
      <c r="F35" s="398">
        <f>'[16]B1.3.3'!I22+'[16]B1.3.3'!I23</f>
        <v>93947.98574821853</v>
      </c>
      <c r="G35" s="398">
        <f>'[16]B1.3.3'!F22+'[16]B1.3.3'!F23</f>
        <v>80000</v>
      </c>
      <c r="H35" s="398">
        <f>G35</f>
        <v>80000</v>
      </c>
      <c r="I35" s="398">
        <f>H35</f>
        <v>80000</v>
      </c>
      <c r="J35" s="392">
        <f>H35</f>
        <v>80000</v>
      </c>
      <c r="K35" s="500"/>
    </row>
    <row r="36" spans="1:11" ht="16.5">
      <c r="A36" s="375"/>
      <c r="B36" s="376"/>
      <c r="C36" s="376"/>
      <c r="D36" s="502" t="s">
        <v>223</v>
      </c>
      <c r="E36" s="309">
        <f>16690+29491</f>
        <v>46181</v>
      </c>
      <c r="F36" s="398">
        <f>'[16]B1.3.3'!I24</f>
        <v>47275</v>
      </c>
      <c r="G36" s="398">
        <f>'[16]B1.3.3'!G24</f>
        <v>46181</v>
      </c>
      <c r="H36" s="398">
        <f>'[16]B1.3.3'!F24</f>
        <v>50799.1</v>
      </c>
      <c r="I36" s="398">
        <f>H36</f>
        <v>50799.1</v>
      </c>
      <c r="J36" s="392">
        <f>H36</f>
        <v>50799.1</v>
      </c>
      <c r="K36" s="500"/>
    </row>
    <row r="37" spans="1:11" ht="16.5">
      <c r="A37" s="375"/>
      <c r="B37" s="376"/>
      <c r="C37" s="373" t="s">
        <v>203</v>
      </c>
      <c r="D37" s="373" t="s">
        <v>224</v>
      </c>
      <c r="E37" s="187">
        <f>1279+5455+6352+1786</f>
        <v>14872</v>
      </c>
      <c r="F37" s="382">
        <v>20000</v>
      </c>
      <c r="G37" s="382">
        <v>15000</v>
      </c>
      <c r="H37" s="382">
        <v>15000</v>
      </c>
      <c r="I37" s="382">
        <v>12000</v>
      </c>
      <c r="J37" s="392">
        <v>12000</v>
      </c>
      <c r="K37" s="500"/>
    </row>
    <row r="38" spans="1:11" ht="16.5">
      <c r="A38" s="375"/>
      <c r="B38" s="376"/>
      <c r="C38" s="373" t="s">
        <v>205</v>
      </c>
      <c r="D38" s="373" t="s">
        <v>225</v>
      </c>
      <c r="E38" s="187">
        <v>31495</v>
      </c>
      <c r="F38" s="382">
        <v>25000</v>
      </c>
      <c r="G38" s="382">
        <v>30000</v>
      </c>
      <c r="H38" s="382">
        <v>30000</v>
      </c>
      <c r="I38" s="382">
        <v>30000</v>
      </c>
      <c r="J38" s="392">
        <f>I38</f>
        <v>30000</v>
      </c>
      <c r="K38" s="494"/>
    </row>
    <row r="39" spans="1:11" ht="16.5">
      <c r="A39" s="372"/>
      <c r="B39" s="376"/>
      <c r="C39" s="376"/>
      <c r="D39" s="376"/>
      <c r="E39" s="308"/>
      <c r="F39" s="391"/>
      <c r="G39" s="391"/>
      <c r="H39" s="391"/>
      <c r="I39" s="391"/>
      <c r="J39" s="392"/>
      <c r="K39" s="500"/>
    </row>
    <row r="40" spans="1:11" ht="16.5">
      <c r="A40" s="375"/>
      <c r="B40" s="373" t="s">
        <v>226</v>
      </c>
      <c r="C40" s="373"/>
      <c r="D40" s="373"/>
      <c r="E40" s="315">
        <f>SUM(E29:E38)-E35-E36</f>
        <v>2028108</v>
      </c>
      <c r="F40" s="315">
        <f>F29+F30+F32+F33+F34+F37+F38</f>
        <v>2140135.3298763186</v>
      </c>
      <c r="G40" s="315">
        <f>G29+G30+G32+G33+G34+G37+G38</f>
        <v>2049547.4415152734</v>
      </c>
      <c r="H40" s="315">
        <f>H29+H30+H32+H33+H34+H37+H38</f>
        <v>2066614.1</v>
      </c>
      <c r="I40" s="315">
        <f>I29+I30+I32+I33+I34+I37+I38</f>
        <v>2117320</v>
      </c>
      <c r="J40" s="497">
        <f>J29+J30+J32+J33+J34+J37+J38</f>
        <v>2118399</v>
      </c>
      <c r="K40" s="496"/>
    </row>
    <row r="41" spans="1:11" ht="16.5">
      <c r="A41" s="375"/>
      <c r="B41" s="373"/>
      <c r="C41" s="373"/>
      <c r="D41" s="373"/>
      <c r="E41" s="311"/>
      <c r="F41" s="399"/>
      <c r="G41" s="399"/>
      <c r="H41" s="399"/>
      <c r="I41" s="399"/>
      <c r="J41" s="389"/>
      <c r="K41" s="498"/>
    </row>
    <row r="42" spans="1:11" ht="16.5">
      <c r="A42" s="375"/>
      <c r="B42" s="589" t="s">
        <v>227</v>
      </c>
      <c r="C42" s="590"/>
      <c r="D42" s="590"/>
      <c r="E42" s="311"/>
      <c r="F42" s="399"/>
      <c r="G42" s="399"/>
      <c r="H42" s="399"/>
      <c r="I42" s="399"/>
      <c r="J42" s="389"/>
      <c r="K42" s="498"/>
    </row>
    <row r="43" spans="1:11" ht="16.5">
      <c r="A43" s="375"/>
      <c r="B43" s="376"/>
      <c r="C43" s="376"/>
      <c r="D43" s="376"/>
      <c r="E43" s="307"/>
      <c r="F43" s="388"/>
      <c r="G43" s="388"/>
      <c r="H43" s="388"/>
      <c r="I43" s="388"/>
      <c r="J43" s="389"/>
      <c r="K43" s="498"/>
    </row>
    <row r="44" spans="1:11" ht="16.5">
      <c r="A44" s="375"/>
      <c r="B44" s="589" t="s">
        <v>228</v>
      </c>
      <c r="C44" s="590"/>
      <c r="D44" s="590"/>
      <c r="E44" s="311"/>
      <c r="F44" s="399"/>
      <c r="G44" s="399"/>
      <c r="H44" s="399"/>
      <c r="I44" s="399"/>
      <c r="J44" s="389"/>
      <c r="K44" s="498"/>
    </row>
    <row r="45" spans="1:11" ht="16.5">
      <c r="A45" s="375"/>
      <c r="B45" s="400"/>
      <c r="C45" s="401"/>
      <c r="D45" s="401"/>
      <c r="E45" s="311"/>
      <c r="F45" s="399"/>
      <c r="G45" s="399"/>
      <c r="H45" s="399"/>
      <c r="I45" s="399"/>
      <c r="J45" s="389"/>
      <c r="K45" s="498"/>
    </row>
    <row r="46" spans="1:158" ht="16.5">
      <c r="A46" s="372"/>
      <c r="B46" s="373" t="s">
        <v>229</v>
      </c>
      <c r="C46" s="373"/>
      <c r="D46" s="373"/>
      <c r="E46" s="503"/>
      <c r="F46" s="504"/>
      <c r="G46" s="504"/>
      <c r="H46" s="504"/>
      <c r="I46" s="504"/>
      <c r="J46" s="389"/>
      <c r="K46" s="498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5"/>
      <c r="BS46" s="505"/>
      <c r="BT46" s="505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505"/>
      <c r="CU46" s="505"/>
      <c r="CV46" s="505"/>
      <c r="CW46" s="505"/>
      <c r="CX46" s="505"/>
      <c r="CY46" s="505"/>
      <c r="CZ46" s="505"/>
      <c r="DA46" s="505"/>
      <c r="DB46" s="505"/>
      <c r="DC46" s="505"/>
      <c r="DD46" s="505"/>
      <c r="DE46" s="505"/>
      <c r="DF46" s="505"/>
      <c r="DG46" s="505"/>
      <c r="DH46" s="505"/>
      <c r="DI46" s="505"/>
      <c r="DJ46" s="505"/>
      <c r="DK46" s="505"/>
      <c r="DL46" s="505"/>
      <c r="DM46" s="505"/>
      <c r="DN46" s="505"/>
      <c r="DO46" s="505"/>
      <c r="DP46" s="505"/>
      <c r="DQ46" s="505"/>
      <c r="DR46" s="505"/>
      <c r="DS46" s="505"/>
      <c r="DT46" s="505"/>
      <c r="DU46" s="505"/>
      <c r="DV46" s="505"/>
      <c r="DW46" s="505"/>
      <c r="DX46" s="505"/>
      <c r="DY46" s="505"/>
      <c r="DZ46" s="505"/>
      <c r="EA46" s="505"/>
      <c r="EB46" s="505"/>
      <c r="EC46" s="505"/>
      <c r="ED46" s="505"/>
      <c r="EE46" s="505"/>
      <c r="EF46" s="505"/>
      <c r="EG46" s="505"/>
      <c r="EH46" s="505"/>
      <c r="EI46" s="505"/>
      <c r="EJ46" s="505"/>
      <c r="EK46" s="505"/>
      <c r="EL46" s="505"/>
      <c r="EM46" s="505"/>
      <c r="EN46" s="505"/>
      <c r="EO46" s="505"/>
      <c r="EP46" s="505"/>
      <c r="EQ46" s="505"/>
      <c r="ER46" s="505"/>
      <c r="ES46" s="505"/>
      <c r="ET46" s="505"/>
      <c r="EU46" s="505"/>
      <c r="EV46" s="505"/>
      <c r="EW46" s="505"/>
      <c r="EX46" s="505"/>
      <c r="EY46" s="505"/>
      <c r="EZ46" s="505"/>
      <c r="FA46" s="505"/>
      <c r="FB46" s="505"/>
    </row>
    <row r="47" spans="1:158" ht="16.5">
      <c r="A47" s="372"/>
      <c r="B47" s="373"/>
      <c r="C47" s="373"/>
      <c r="D47" s="373"/>
      <c r="E47" s="503"/>
      <c r="F47" s="504"/>
      <c r="G47" s="504"/>
      <c r="H47" s="504"/>
      <c r="I47" s="504"/>
      <c r="J47" s="389"/>
      <c r="K47" s="498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05"/>
      <c r="BY47" s="505"/>
      <c r="BZ47" s="505"/>
      <c r="CA47" s="505"/>
      <c r="CB47" s="505"/>
      <c r="CC47" s="505"/>
      <c r="CD47" s="505"/>
      <c r="CE47" s="505"/>
      <c r="CF47" s="505"/>
      <c r="CG47" s="505"/>
      <c r="CH47" s="505"/>
      <c r="CI47" s="505"/>
      <c r="CJ47" s="505"/>
      <c r="CK47" s="505"/>
      <c r="CL47" s="505"/>
      <c r="CM47" s="505"/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5"/>
      <c r="DB47" s="505"/>
      <c r="DC47" s="505"/>
      <c r="DD47" s="505"/>
      <c r="DE47" s="505"/>
      <c r="DF47" s="505"/>
      <c r="DG47" s="505"/>
      <c r="DH47" s="505"/>
      <c r="DI47" s="505"/>
      <c r="DJ47" s="505"/>
      <c r="DK47" s="505"/>
      <c r="DL47" s="505"/>
      <c r="DM47" s="505"/>
      <c r="DN47" s="505"/>
      <c r="DO47" s="505"/>
      <c r="DP47" s="505"/>
      <c r="DQ47" s="505"/>
      <c r="DR47" s="505"/>
      <c r="DS47" s="505"/>
      <c r="DT47" s="505"/>
      <c r="DU47" s="505"/>
      <c r="DV47" s="505"/>
      <c r="DW47" s="505"/>
      <c r="DX47" s="505"/>
      <c r="DY47" s="505"/>
      <c r="DZ47" s="505"/>
      <c r="EA47" s="505"/>
      <c r="EB47" s="505"/>
      <c r="EC47" s="505"/>
      <c r="ED47" s="505"/>
      <c r="EE47" s="505"/>
      <c r="EF47" s="505"/>
      <c r="EG47" s="505"/>
      <c r="EH47" s="505"/>
      <c r="EI47" s="505"/>
      <c r="EJ47" s="505"/>
      <c r="EK47" s="505"/>
      <c r="EL47" s="505"/>
      <c r="EM47" s="505"/>
      <c r="EN47" s="505"/>
      <c r="EO47" s="505"/>
      <c r="EP47" s="505"/>
      <c r="EQ47" s="505"/>
      <c r="ER47" s="505"/>
      <c r="ES47" s="505"/>
      <c r="ET47" s="505"/>
      <c r="EU47" s="505"/>
      <c r="EV47" s="505"/>
      <c r="EW47" s="505"/>
      <c r="EX47" s="505"/>
      <c r="EY47" s="505"/>
      <c r="EZ47" s="505"/>
      <c r="FA47" s="505"/>
      <c r="FB47" s="505"/>
    </row>
    <row r="48" spans="1:158" ht="16.5">
      <c r="A48" s="372"/>
      <c r="B48" s="373" t="s">
        <v>230</v>
      </c>
      <c r="C48" s="373"/>
      <c r="D48" s="373"/>
      <c r="E48" s="503"/>
      <c r="F48" s="504"/>
      <c r="G48" s="504"/>
      <c r="H48" s="504"/>
      <c r="I48" s="504"/>
      <c r="J48" s="389"/>
      <c r="K48" s="498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5"/>
      <c r="CG48" s="505"/>
      <c r="CH48" s="505"/>
      <c r="CI48" s="505"/>
      <c r="CJ48" s="505"/>
      <c r="CK48" s="505"/>
      <c r="CL48" s="505"/>
      <c r="CM48" s="505"/>
      <c r="CN48" s="505"/>
      <c r="CO48" s="505"/>
      <c r="CP48" s="505"/>
      <c r="CQ48" s="505"/>
      <c r="CR48" s="505"/>
      <c r="CS48" s="505"/>
      <c r="CT48" s="505"/>
      <c r="CU48" s="505"/>
      <c r="CV48" s="505"/>
      <c r="CW48" s="505"/>
      <c r="CX48" s="505"/>
      <c r="CY48" s="505"/>
      <c r="CZ48" s="505"/>
      <c r="DA48" s="505"/>
      <c r="DB48" s="505"/>
      <c r="DC48" s="505"/>
      <c r="DD48" s="505"/>
      <c r="DE48" s="505"/>
      <c r="DF48" s="505"/>
      <c r="DG48" s="505"/>
      <c r="DH48" s="505"/>
      <c r="DI48" s="505"/>
      <c r="DJ48" s="505"/>
      <c r="DK48" s="505"/>
      <c r="DL48" s="505"/>
      <c r="DM48" s="505"/>
      <c r="DN48" s="505"/>
      <c r="DO48" s="505"/>
      <c r="DP48" s="505"/>
      <c r="DQ48" s="505"/>
      <c r="DR48" s="505"/>
      <c r="DS48" s="505"/>
      <c r="DT48" s="505"/>
      <c r="DU48" s="505"/>
      <c r="DV48" s="505"/>
      <c r="DW48" s="505"/>
      <c r="DX48" s="505"/>
      <c r="DY48" s="505"/>
      <c r="DZ48" s="505"/>
      <c r="EA48" s="505"/>
      <c r="EB48" s="505"/>
      <c r="EC48" s="505"/>
      <c r="ED48" s="505"/>
      <c r="EE48" s="505"/>
      <c r="EF48" s="505"/>
      <c r="EG48" s="505"/>
      <c r="EH48" s="505"/>
      <c r="EI48" s="505"/>
      <c r="EJ48" s="505"/>
      <c r="EK48" s="505"/>
      <c r="EL48" s="505"/>
      <c r="EM48" s="505"/>
      <c r="EN48" s="505"/>
      <c r="EO48" s="505"/>
      <c r="EP48" s="505"/>
      <c r="EQ48" s="505"/>
      <c r="ER48" s="505"/>
      <c r="ES48" s="505"/>
      <c r="ET48" s="505"/>
      <c r="EU48" s="505"/>
      <c r="EV48" s="505"/>
      <c r="EW48" s="505"/>
      <c r="EX48" s="505"/>
      <c r="EY48" s="505"/>
      <c r="EZ48" s="505"/>
      <c r="FA48" s="505"/>
      <c r="FB48" s="505"/>
    </row>
    <row r="49" spans="1:158" ht="16.5">
      <c r="A49" s="375"/>
      <c r="B49" s="376" t="s">
        <v>195</v>
      </c>
      <c r="C49" s="377" t="s">
        <v>196</v>
      </c>
      <c r="D49" s="373" t="s">
        <v>231</v>
      </c>
      <c r="E49" s="187">
        <v>61037</v>
      </c>
      <c r="F49" s="382">
        <f>'[16]B2.1.1'!H46</f>
        <v>54580</v>
      </c>
      <c r="G49" s="382">
        <v>50000</v>
      </c>
      <c r="H49" s="382">
        <v>60000</v>
      </c>
      <c r="I49" s="382">
        <f>H49</f>
        <v>60000</v>
      </c>
      <c r="J49" s="392">
        <f>I49</f>
        <v>60000</v>
      </c>
      <c r="K49" s="496"/>
      <c r="M49" s="506"/>
      <c r="N49" s="506"/>
      <c r="O49" s="505"/>
      <c r="P49" s="506"/>
      <c r="Q49" s="506"/>
      <c r="R49" s="506"/>
      <c r="S49" s="505"/>
      <c r="T49" s="506"/>
      <c r="U49" s="506"/>
      <c r="V49" s="506"/>
      <c r="W49" s="505"/>
      <c r="X49" s="506"/>
      <c r="Y49" s="506"/>
      <c r="Z49" s="506"/>
      <c r="AA49" s="505"/>
      <c r="AB49" s="506"/>
      <c r="AC49" s="506"/>
      <c r="AD49" s="506"/>
      <c r="AE49" s="505"/>
      <c r="AF49" s="506"/>
      <c r="AG49" s="506"/>
      <c r="AH49" s="506"/>
      <c r="AI49" s="505"/>
      <c r="AJ49" s="506"/>
      <c r="AK49" s="506"/>
      <c r="AL49" s="506"/>
      <c r="AM49" s="505"/>
      <c r="AN49" s="506"/>
      <c r="AO49" s="506"/>
      <c r="AP49" s="506"/>
      <c r="AQ49" s="505"/>
      <c r="AR49" s="506"/>
      <c r="AS49" s="506"/>
      <c r="AT49" s="506"/>
      <c r="AU49" s="505"/>
      <c r="AV49" s="506"/>
      <c r="AW49" s="506"/>
      <c r="AX49" s="506"/>
      <c r="AY49" s="505"/>
      <c r="AZ49" s="506"/>
      <c r="BA49" s="506"/>
      <c r="BB49" s="506"/>
      <c r="BC49" s="505"/>
      <c r="BD49" s="506"/>
      <c r="BE49" s="506"/>
      <c r="BF49" s="506"/>
      <c r="BG49" s="505"/>
      <c r="BH49" s="506"/>
      <c r="BI49" s="506"/>
      <c r="BJ49" s="506"/>
      <c r="BK49" s="505"/>
      <c r="BL49" s="506"/>
      <c r="BM49" s="506"/>
      <c r="BN49" s="506"/>
      <c r="BO49" s="505"/>
      <c r="BP49" s="506"/>
      <c r="BQ49" s="506"/>
      <c r="BR49" s="506"/>
      <c r="BS49" s="505"/>
      <c r="BT49" s="506"/>
      <c r="BU49" s="506"/>
      <c r="BV49" s="506"/>
      <c r="BW49" s="505"/>
      <c r="BX49" s="506"/>
      <c r="BY49" s="506"/>
      <c r="BZ49" s="506"/>
      <c r="CA49" s="505"/>
      <c r="CB49" s="506"/>
      <c r="CC49" s="506"/>
      <c r="CD49" s="506"/>
      <c r="CE49" s="505"/>
      <c r="CF49" s="506"/>
      <c r="CG49" s="506"/>
      <c r="CH49" s="506"/>
      <c r="CI49" s="505"/>
      <c r="CJ49" s="506"/>
      <c r="CK49" s="506"/>
      <c r="CL49" s="506"/>
      <c r="CM49" s="505"/>
      <c r="CN49" s="506"/>
      <c r="CO49" s="506"/>
      <c r="CP49" s="506"/>
      <c r="CQ49" s="505"/>
      <c r="CR49" s="506"/>
      <c r="CS49" s="506"/>
      <c r="CT49" s="506"/>
      <c r="CU49" s="505"/>
      <c r="CV49" s="506"/>
      <c r="CW49" s="506"/>
      <c r="CX49" s="506"/>
      <c r="CY49" s="505"/>
      <c r="CZ49" s="506"/>
      <c r="DA49" s="506"/>
      <c r="DB49" s="506"/>
      <c r="DC49" s="505"/>
      <c r="DD49" s="506"/>
      <c r="DE49" s="506"/>
      <c r="DF49" s="506"/>
      <c r="DG49" s="505"/>
      <c r="DH49" s="506"/>
      <c r="DI49" s="506"/>
      <c r="DJ49" s="506"/>
      <c r="DK49" s="505"/>
      <c r="DL49" s="506"/>
      <c r="DM49" s="506"/>
      <c r="DN49" s="506"/>
      <c r="DO49" s="505"/>
      <c r="DP49" s="506"/>
      <c r="DQ49" s="506"/>
      <c r="DR49" s="506"/>
      <c r="DS49" s="505"/>
      <c r="DT49" s="506"/>
      <c r="DU49" s="506"/>
      <c r="DV49" s="506"/>
      <c r="DW49" s="505"/>
      <c r="DX49" s="506"/>
      <c r="DY49" s="506"/>
      <c r="DZ49" s="506"/>
      <c r="EA49" s="505"/>
      <c r="EB49" s="506"/>
      <c r="EC49" s="506"/>
      <c r="ED49" s="506"/>
      <c r="EE49" s="505"/>
      <c r="EF49" s="506"/>
      <c r="EG49" s="506"/>
      <c r="EH49" s="506"/>
      <c r="EI49" s="505"/>
      <c r="EJ49" s="506"/>
      <c r="EK49" s="506"/>
      <c r="EL49" s="506"/>
      <c r="EM49" s="505"/>
      <c r="EN49" s="506"/>
      <c r="EO49" s="506"/>
      <c r="EP49" s="506"/>
      <c r="EQ49" s="505"/>
      <c r="ER49" s="506"/>
      <c r="ES49" s="506"/>
      <c r="ET49" s="506"/>
      <c r="EU49" s="505"/>
      <c r="EV49" s="506"/>
      <c r="EW49" s="506"/>
      <c r="EX49" s="506"/>
      <c r="EY49" s="505"/>
      <c r="EZ49" s="506"/>
      <c r="FA49" s="506"/>
      <c r="FB49" s="506"/>
    </row>
    <row r="50" spans="1:158" ht="16.5">
      <c r="A50" s="375"/>
      <c r="B50" s="376" t="s">
        <v>195</v>
      </c>
      <c r="C50" s="373" t="s">
        <v>199</v>
      </c>
      <c r="D50" s="373" t="s">
        <v>232</v>
      </c>
      <c r="E50" s="187">
        <v>29953</v>
      </c>
      <c r="F50" s="382">
        <f>'[16]B2.1.2'!I38</f>
        <v>65000</v>
      </c>
      <c r="G50" s="382">
        <f>'[16]B2.1.2'!H38</f>
        <v>65000</v>
      </c>
      <c r="H50" s="382">
        <f>'[16]B2.1.2'!G38</f>
        <v>85000</v>
      </c>
      <c r="I50" s="382">
        <f>'[16]B2.1.2'!F38</f>
        <v>85000</v>
      </c>
      <c r="J50" s="392">
        <f>'[16]B2.1.2'!E38</f>
        <v>85000</v>
      </c>
      <c r="K50" s="494"/>
      <c r="M50" s="506"/>
      <c r="N50" s="506"/>
      <c r="O50" s="505"/>
      <c r="P50" s="506"/>
      <c r="Q50" s="506"/>
      <c r="R50" s="506"/>
      <c r="S50" s="505"/>
      <c r="T50" s="506"/>
      <c r="U50" s="506"/>
      <c r="V50" s="506"/>
      <c r="W50" s="505"/>
      <c r="X50" s="506"/>
      <c r="Y50" s="506"/>
      <c r="Z50" s="506"/>
      <c r="AA50" s="505"/>
      <c r="AB50" s="506"/>
      <c r="AC50" s="506"/>
      <c r="AD50" s="506"/>
      <c r="AE50" s="505"/>
      <c r="AF50" s="506"/>
      <c r="AG50" s="506"/>
      <c r="AH50" s="506"/>
      <c r="AI50" s="505"/>
      <c r="AJ50" s="506"/>
      <c r="AK50" s="506"/>
      <c r="AL50" s="506"/>
      <c r="AM50" s="505"/>
      <c r="AN50" s="506"/>
      <c r="AO50" s="506"/>
      <c r="AP50" s="506"/>
      <c r="AQ50" s="505"/>
      <c r="AR50" s="506"/>
      <c r="AS50" s="506"/>
      <c r="AT50" s="506"/>
      <c r="AU50" s="505"/>
      <c r="AV50" s="506"/>
      <c r="AW50" s="506"/>
      <c r="AX50" s="506"/>
      <c r="AY50" s="505"/>
      <c r="AZ50" s="506"/>
      <c r="BA50" s="506"/>
      <c r="BB50" s="506"/>
      <c r="BC50" s="505"/>
      <c r="BD50" s="506"/>
      <c r="BE50" s="506"/>
      <c r="BF50" s="506"/>
      <c r="BG50" s="505"/>
      <c r="BH50" s="506"/>
      <c r="BI50" s="506"/>
      <c r="BJ50" s="506"/>
      <c r="BK50" s="505"/>
      <c r="BL50" s="506"/>
      <c r="BM50" s="506"/>
      <c r="BN50" s="506"/>
      <c r="BO50" s="505"/>
      <c r="BP50" s="506"/>
      <c r="BQ50" s="506"/>
      <c r="BR50" s="506"/>
      <c r="BS50" s="505"/>
      <c r="BT50" s="506"/>
      <c r="BU50" s="506"/>
      <c r="BV50" s="506"/>
      <c r="BW50" s="505"/>
      <c r="BX50" s="506"/>
      <c r="BY50" s="506"/>
      <c r="BZ50" s="506"/>
      <c r="CA50" s="505"/>
      <c r="CB50" s="506"/>
      <c r="CC50" s="506"/>
      <c r="CD50" s="506"/>
      <c r="CE50" s="505"/>
      <c r="CF50" s="506"/>
      <c r="CG50" s="506"/>
      <c r="CH50" s="506"/>
      <c r="CI50" s="505"/>
      <c r="CJ50" s="506"/>
      <c r="CK50" s="506"/>
      <c r="CL50" s="506"/>
      <c r="CM50" s="505"/>
      <c r="CN50" s="506"/>
      <c r="CO50" s="506"/>
      <c r="CP50" s="506"/>
      <c r="CQ50" s="505"/>
      <c r="CR50" s="506"/>
      <c r="CS50" s="506"/>
      <c r="CT50" s="506"/>
      <c r="CU50" s="505"/>
      <c r="CV50" s="506"/>
      <c r="CW50" s="506"/>
      <c r="CX50" s="506"/>
      <c r="CY50" s="505"/>
      <c r="CZ50" s="506"/>
      <c r="DA50" s="506"/>
      <c r="DB50" s="506"/>
      <c r="DC50" s="505"/>
      <c r="DD50" s="506"/>
      <c r="DE50" s="506"/>
      <c r="DF50" s="506"/>
      <c r="DG50" s="505"/>
      <c r="DH50" s="506"/>
      <c r="DI50" s="506"/>
      <c r="DJ50" s="506"/>
      <c r="DK50" s="505"/>
      <c r="DL50" s="506"/>
      <c r="DM50" s="506"/>
      <c r="DN50" s="506"/>
      <c r="DO50" s="505"/>
      <c r="DP50" s="506"/>
      <c r="DQ50" s="506"/>
      <c r="DR50" s="506"/>
      <c r="DS50" s="505"/>
      <c r="DT50" s="506"/>
      <c r="DU50" s="506"/>
      <c r="DV50" s="506"/>
      <c r="DW50" s="505"/>
      <c r="DX50" s="506"/>
      <c r="DY50" s="506"/>
      <c r="DZ50" s="506"/>
      <c r="EA50" s="505"/>
      <c r="EB50" s="506"/>
      <c r="EC50" s="506"/>
      <c r="ED50" s="506"/>
      <c r="EE50" s="505"/>
      <c r="EF50" s="506"/>
      <c r="EG50" s="506"/>
      <c r="EH50" s="506"/>
      <c r="EI50" s="505"/>
      <c r="EJ50" s="506"/>
      <c r="EK50" s="506"/>
      <c r="EL50" s="506"/>
      <c r="EM50" s="505"/>
      <c r="EN50" s="506"/>
      <c r="EO50" s="506"/>
      <c r="EP50" s="506"/>
      <c r="EQ50" s="505"/>
      <c r="ER50" s="506"/>
      <c r="ES50" s="506"/>
      <c r="ET50" s="506"/>
      <c r="EU50" s="505"/>
      <c r="EV50" s="506"/>
      <c r="EW50" s="506"/>
      <c r="EX50" s="506"/>
      <c r="EY50" s="505"/>
      <c r="EZ50" s="506"/>
      <c r="FA50" s="506"/>
      <c r="FB50" s="506"/>
    </row>
    <row r="51" spans="1:158" ht="16.5">
      <c r="A51" s="372"/>
      <c r="B51" s="373"/>
      <c r="C51" s="373" t="s">
        <v>233</v>
      </c>
      <c r="D51" s="373" t="s">
        <v>234</v>
      </c>
      <c r="E51" s="187">
        <v>30211</v>
      </c>
      <c r="F51" s="382">
        <f>'[16]B2.1.3'!G10+'[16]B2.1.3'!G12</f>
        <v>56951.96</v>
      </c>
      <c r="G51" s="382">
        <f>'[16]B2.1.3'!F14</f>
        <v>59451.96</v>
      </c>
      <c r="H51" s="382">
        <f>'[16]B2.1.3'!E14</f>
        <v>38261.9084</v>
      </c>
      <c r="I51" s="382">
        <v>38262</v>
      </c>
      <c r="J51" s="392">
        <f>'[16]B2.1.3'!C14</f>
        <v>38261.9084</v>
      </c>
      <c r="K51" s="496"/>
      <c r="M51" s="506"/>
      <c r="N51" s="506"/>
      <c r="O51" s="505"/>
      <c r="P51" s="506"/>
      <c r="Q51" s="506"/>
      <c r="R51" s="506"/>
      <c r="S51" s="505"/>
      <c r="T51" s="506"/>
      <c r="U51" s="506"/>
      <c r="V51" s="506"/>
      <c r="W51" s="505"/>
      <c r="X51" s="506"/>
      <c r="Y51" s="506"/>
      <c r="Z51" s="506"/>
      <c r="AA51" s="505"/>
      <c r="AB51" s="506"/>
      <c r="AC51" s="506"/>
      <c r="AD51" s="506"/>
      <c r="AE51" s="505"/>
      <c r="AF51" s="506"/>
      <c r="AG51" s="506"/>
      <c r="AH51" s="506"/>
      <c r="AI51" s="505"/>
      <c r="AJ51" s="506"/>
      <c r="AK51" s="506"/>
      <c r="AL51" s="506"/>
      <c r="AM51" s="505"/>
      <c r="AN51" s="506"/>
      <c r="AO51" s="506"/>
      <c r="AP51" s="506"/>
      <c r="AQ51" s="505"/>
      <c r="AR51" s="506"/>
      <c r="AS51" s="506"/>
      <c r="AT51" s="506"/>
      <c r="AU51" s="505"/>
      <c r="AV51" s="506"/>
      <c r="AW51" s="506"/>
      <c r="AX51" s="506"/>
      <c r="AY51" s="505"/>
      <c r="AZ51" s="506"/>
      <c r="BA51" s="506"/>
      <c r="BB51" s="506"/>
      <c r="BC51" s="505"/>
      <c r="BD51" s="506"/>
      <c r="BE51" s="506"/>
      <c r="BF51" s="506"/>
      <c r="BG51" s="505"/>
      <c r="BH51" s="506"/>
      <c r="BI51" s="506"/>
      <c r="BJ51" s="506"/>
      <c r="BK51" s="505"/>
      <c r="BL51" s="506"/>
      <c r="BM51" s="506"/>
      <c r="BN51" s="506"/>
      <c r="BO51" s="505"/>
      <c r="BP51" s="506"/>
      <c r="BQ51" s="506"/>
      <c r="BR51" s="506"/>
      <c r="BS51" s="505"/>
      <c r="BT51" s="506"/>
      <c r="BU51" s="506"/>
      <c r="BV51" s="506"/>
      <c r="BW51" s="505"/>
      <c r="BX51" s="506"/>
      <c r="BY51" s="506"/>
      <c r="BZ51" s="506"/>
      <c r="CA51" s="505"/>
      <c r="CB51" s="506"/>
      <c r="CC51" s="506"/>
      <c r="CD51" s="506"/>
      <c r="CE51" s="505"/>
      <c r="CF51" s="506"/>
      <c r="CG51" s="506"/>
      <c r="CH51" s="506"/>
      <c r="CI51" s="505"/>
      <c r="CJ51" s="506"/>
      <c r="CK51" s="506"/>
      <c r="CL51" s="506"/>
      <c r="CM51" s="505"/>
      <c r="CN51" s="506"/>
      <c r="CO51" s="506"/>
      <c r="CP51" s="506"/>
      <c r="CQ51" s="505"/>
      <c r="CR51" s="506"/>
      <c r="CS51" s="506"/>
      <c r="CT51" s="506"/>
      <c r="CU51" s="505"/>
      <c r="CV51" s="506"/>
      <c r="CW51" s="506"/>
      <c r="CX51" s="506"/>
      <c r="CY51" s="505"/>
      <c r="CZ51" s="506"/>
      <c r="DA51" s="506"/>
      <c r="DB51" s="506"/>
      <c r="DC51" s="505"/>
      <c r="DD51" s="506"/>
      <c r="DE51" s="506"/>
      <c r="DF51" s="506"/>
      <c r="DG51" s="505"/>
      <c r="DH51" s="506"/>
      <c r="DI51" s="506"/>
      <c r="DJ51" s="506"/>
      <c r="DK51" s="505"/>
      <c r="DL51" s="506"/>
      <c r="DM51" s="506"/>
      <c r="DN51" s="506"/>
      <c r="DO51" s="505"/>
      <c r="DP51" s="506"/>
      <c r="DQ51" s="506"/>
      <c r="DR51" s="506"/>
      <c r="DS51" s="505"/>
      <c r="DT51" s="506"/>
      <c r="DU51" s="506"/>
      <c r="DV51" s="506"/>
      <c r="DW51" s="505"/>
      <c r="DX51" s="506"/>
      <c r="DY51" s="506"/>
      <c r="DZ51" s="506"/>
      <c r="EA51" s="505"/>
      <c r="EB51" s="506"/>
      <c r="EC51" s="506"/>
      <c r="ED51" s="506"/>
      <c r="EE51" s="505"/>
      <c r="EF51" s="506"/>
      <c r="EG51" s="506"/>
      <c r="EH51" s="506"/>
      <c r="EI51" s="505"/>
      <c r="EJ51" s="506"/>
      <c r="EK51" s="506"/>
      <c r="EL51" s="506"/>
      <c r="EM51" s="505"/>
      <c r="EN51" s="506"/>
      <c r="EO51" s="506"/>
      <c r="EP51" s="506"/>
      <c r="EQ51" s="505"/>
      <c r="ER51" s="506"/>
      <c r="ES51" s="506"/>
      <c r="ET51" s="506"/>
      <c r="EU51" s="505"/>
      <c r="EV51" s="506"/>
      <c r="EW51" s="506"/>
      <c r="EX51" s="506"/>
      <c r="EY51" s="505"/>
      <c r="EZ51" s="506"/>
      <c r="FA51" s="506"/>
      <c r="FB51" s="506"/>
    </row>
    <row r="52" spans="1:158" ht="16.5">
      <c r="A52" s="372"/>
      <c r="B52" s="373"/>
      <c r="C52" s="373" t="s">
        <v>203</v>
      </c>
      <c r="D52" s="373" t="s">
        <v>456</v>
      </c>
      <c r="E52" s="187"/>
      <c r="F52" s="382">
        <v>49188</v>
      </c>
      <c r="G52" s="382">
        <v>38964</v>
      </c>
      <c r="H52" s="382"/>
      <c r="I52" s="382"/>
      <c r="J52" s="392"/>
      <c r="K52" s="496"/>
      <c r="M52" s="506"/>
      <c r="N52" s="506"/>
      <c r="O52" s="505"/>
      <c r="P52" s="506"/>
      <c r="Q52" s="506"/>
      <c r="R52" s="506"/>
      <c r="S52" s="505"/>
      <c r="T52" s="506"/>
      <c r="U52" s="506"/>
      <c r="V52" s="506"/>
      <c r="W52" s="505"/>
      <c r="X52" s="506"/>
      <c r="Y52" s="506"/>
      <c r="Z52" s="506"/>
      <c r="AA52" s="505"/>
      <c r="AB52" s="506"/>
      <c r="AC52" s="506"/>
      <c r="AD52" s="506"/>
      <c r="AE52" s="505"/>
      <c r="AF52" s="506"/>
      <c r="AG52" s="506"/>
      <c r="AH52" s="506"/>
      <c r="AI52" s="505"/>
      <c r="AJ52" s="506"/>
      <c r="AK52" s="506"/>
      <c r="AL52" s="506"/>
      <c r="AM52" s="505"/>
      <c r="AN52" s="506"/>
      <c r="AO52" s="506"/>
      <c r="AP52" s="506"/>
      <c r="AQ52" s="505"/>
      <c r="AR52" s="506"/>
      <c r="AS52" s="506"/>
      <c r="AT52" s="506"/>
      <c r="AU52" s="505"/>
      <c r="AV52" s="506"/>
      <c r="AW52" s="506"/>
      <c r="AX52" s="506"/>
      <c r="AY52" s="505"/>
      <c r="AZ52" s="506"/>
      <c r="BA52" s="506"/>
      <c r="BB52" s="506"/>
      <c r="BC52" s="505"/>
      <c r="BD52" s="506"/>
      <c r="BE52" s="506"/>
      <c r="BF52" s="506"/>
      <c r="BG52" s="505"/>
      <c r="BH52" s="506"/>
      <c r="BI52" s="506"/>
      <c r="BJ52" s="506"/>
      <c r="BK52" s="505"/>
      <c r="BL52" s="506"/>
      <c r="BM52" s="506"/>
      <c r="BN52" s="506"/>
      <c r="BO52" s="505"/>
      <c r="BP52" s="506"/>
      <c r="BQ52" s="506"/>
      <c r="BR52" s="506"/>
      <c r="BS52" s="505"/>
      <c r="BT52" s="506"/>
      <c r="BU52" s="506"/>
      <c r="BV52" s="506"/>
      <c r="BW52" s="505"/>
      <c r="BX52" s="506"/>
      <c r="BY52" s="506"/>
      <c r="BZ52" s="506"/>
      <c r="CA52" s="505"/>
      <c r="CB52" s="506"/>
      <c r="CC52" s="506"/>
      <c r="CD52" s="506"/>
      <c r="CE52" s="505"/>
      <c r="CF52" s="506"/>
      <c r="CG52" s="506"/>
      <c r="CH52" s="506"/>
      <c r="CI52" s="505"/>
      <c r="CJ52" s="506"/>
      <c r="CK52" s="506"/>
      <c r="CL52" s="506"/>
      <c r="CM52" s="505"/>
      <c r="CN52" s="506"/>
      <c r="CO52" s="506"/>
      <c r="CP52" s="506"/>
      <c r="CQ52" s="505"/>
      <c r="CR52" s="506"/>
      <c r="CS52" s="506"/>
      <c r="CT52" s="506"/>
      <c r="CU52" s="505"/>
      <c r="CV52" s="506"/>
      <c r="CW52" s="506"/>
      <c r="CX52" s="506"/>
      <c r="CY52" s="505"/>
      <c r="CZ52" s="506"/>
      <c r="DA52" s="506"/>
      <c r="DB52" s="506"/>
      <c r="DC52" s="505"/>
      <c r="DD52" s="506"/>
      <c r="DE52" s="506"/>
      <c r="DF52" s="506"/>
      <c r="DG52" s="505"/>
      <c r="DH52" s="506"/>
      <c r="DI52" s="506"/>
      <c r="DJ52" s="506"/>
      <c r="DK52" s="505"/>
      <c r="DL52" s="506"/>
      <c r="DM52" s="506"/>
      <c r="DN52" s="506"/>
      <c r="DO52" s="505"/>
      <c r="DP52" s="506"/>
      <c r="DQ52" s="506"/>
      <c r="DR52" s="506"/>
      <c r="DS52" s="505"/>
      <c r="DT52" s="506"/>
      <c r="DU52" s="506"/>
      <c r="DV52" s="506"/>
      <c r="DW52" s="505"/>
      <c r="DX52" s="506"/>
      <c r="DY52" s="506"/>
      <c r="DZ52" s="506"/>
      <c r="EA52" s="505"/>
      <c r="EB52" s="506"/>
      <c r="EC52" s="506"/>
      <c r="ED52" s="506"/>
      <c r="EE52" s="505"/>
      <c r="EF52" s="506"/>
      <c r="EG52" s="506"/>
      <c r="EH52" s="506"/>
      <c r="EI52" s="505"/>
      <c r="EJ52" s="506"/>
      <c r="EK52" s="506"/>
      <c r="EL52" s="506"/>
      <c r="EM52" s="505"/>
      <c r="EN52" s="506"/>
      <c r="EO52" s="506"/>
      <c r="EP52" s="506"/>
      <c r="EQ52" s="505"/>
      <c r="ER52" s="506"/>
      <c r="ES52" s="506"/>
      <c r="ET52" s="506"/>
      <c r="EU52" s="505"/>
      <c r="EV52" s="506"/>
      <c r="EW52" s="506"/>
      <c r="EX52" s="506"/>
      <c r="EY52" s="505"/>
      <c r="EZ52" s="506"/>
      <c r="FA52" s="506"/>
      <c r="FB52" s="506"/>
    </row>
    <row r="53" spans="1:158" ht="16.5">
      <c r="A53" s="372"/>
      <c r="B53" s="373"/>
      <c r="C53" s="373" t="s">
        <v>205</v>
      </c>
      <c r="D53" s="373" t="s">
        <v>235</v>
      </c>
      <c r="E53" s="187"/>
      <c r="F53" s="382"/>
      <c r="G53" s="382"/>
      <c r="H53" s="382"/>
      <c r="I53" s="382"/>
      <c r="J53" s="392"/>
      <c r="K53" s="494"/>
      <c r="M53" s="506"/>
      <c r="N53" s="506"/>
      <c r="O53" s="505"/>
      <c r="P53" s="506"/>
      <c r="Q53" s="506"/>
      <c r="R53" s="506"/>
      <c r="S53" s="505"/>
      <c r="T53" s="506"/>
      <c r="U53" s="506"/>
      <c r="V53" s="506"/>
      <c r="W53" s="505"/>
      <c r="X53" s="506"/>
      <c r="Y53" s="506"/>
      <c r="Z53" s="506"/>
      <c r="AA53" s="505"/>
      <c r="AB53" s="506"/>
      <c r="AC53" s="506"/>
      <c r="AD53" s="506"/>
      <c r="AE53" s="505"/>
      <c r="AF53" s="506"/>
      <c r="AG53" s="506"/>
      <c r="AH53" s="506"/>
      <c r="AI53" s="505"/>
      <c r="AJ53" s="506"/>
      <c r="AK53" s="506"/>
      <c r="AL53" s="506"/>
      <c r="AM53" s="505"/>
      <c r="AN53" s="506"/>
      <c r="AO53" s="506"/>
      <c r="AP53" s="506"/>
      <c r="AQ53" s="505"/>
      <c r="AR53" s="506"/>
      <c r="AS53" s="506"/>
      <c r="AT53" s="506"/>
      <c r="AU53" s="505"/>
      <c r="AV53" s="506"/>
      <c r="AW53" s="506"/>
      <c r="AX53" s="506"/>
      <c r="AY53" s="505"/>
      <c r="AZ53" s="506"/>
      <c r="BA53" s="506"/>
      <c r="BB53" s="506"/>
      <c r="BC53" s="505"/>
      <c r="BD53" s="506"/>
      <c r="BE53" s="506"/>
      <c r="BF53" s="506"/>
      <c r="BG53" s="505"/>
      <c r="BH53" s="506"/>
      <c r="BI53" s="506"/>
      <c r="BJ53" s="506"/>
      <c r="BK53" s="505"/>
      <c r="BL53" s="506"/>
      <c r="BM53" s="506"/>
      <c r="BN53" s="506"/>
      <c r="BO53" s="505"/>
      <c r="BP53" s="506"/>
      <c r="BQ53" s="506"/>
      <c r="BR53" s="506"/>
      <c r="BS53" s="505"/>
      <c r="BT53" s="506"/>
      <c r="BU53" s="506"/>
      <c r="BV53" s="506"/>
      <c r="BW53" s="505"/>
      <c r="BX53" s="506"/>
      <c r="BY53" s="506"/>
      <c r="BZ53" s="506"/>
      <c r="CA53" s="505"/>
      <c r="CB53" s="506"/>
      <c r="CC53" s="506"/>
      <c r="CD53" s="506"/>
      <c r="CE53" s="505"/>
      <c r="CF53" s="506"/>
      <c r="CG53" s="506"/>
      <c r="CH53" s="506"/>
      <c r="CI53" s="505"/>
      <c r="CJ53" s="506"/>
      <c r="CK53" s="506"/>
      <c r="CL53" s="506"/>
      <c r="CM53" s="505"/>
      <c r="CN53" s="506"/>
      <c r="CO53" s="506"/>
      <c r="CP53" s="506"/>
      <c r="CQ53" s="505"/>
      <c r="CR53" s="506"/>
      <c r="CS53" s="506"/>
      <c r="CT53" s="506"/>
      <c r="CU53" s="505"/>
      <c r="CV53" s="506"/>
      <c r="CW53" s="506"/>
      <c r="CX53" s="506"/>
      <c r="CY53" s="505"/>
      <c r="CZ53" s="506"/>
      <c r="DA53" s="506"/>
      <c r="DB53" s="506"/>
      <c r="DC53" s="505"/>
      <c r="DD53" s="506"/>
      <c r="DE53" s="506"/>
      <c r="DF53" s="506"/>
      <c r="DG53" s="505"/>
      <c r="DH53" s="506"/>
      <c r="DI53" s="506"/>
      <c r="DJ53" s="506"/>
      <c r="DK53" s="505"/>
      <c r="DL53" s="506"/>
      <c r="DM53" s="506"/>
      <c r="DN53" s="506"/>
      <c r="DO53" s="505"/>
      <c r="DP53" s="506"/>
      <c r="DQ53" s="506"/>
      <c r="DR53" s="506"/>
      <c r="DS53" s="505"/>
      <c r="DT53" s="506"/>
      <c r="DU53" s="506"/>
      <c r="DV53" s="506"/>
      <c r="DW53" s="505"/>
      <c r="DX53" s="506"/>
      <c r="DY53" s="506"/>
      <c r="DZ53" s="506"/>
      <c r="EA53" s="505"/>
      <c r="EB53" s="506"/>
      <c r="EC53" s="506"/>
      <c r="ED53" s="506"/>
      <c r="EE53" s="505"/>
      <c r="EF53" s="506"/>
      <c r="EG53" s="506"/>
      <c r="EH53" s="506"/>
      <c r="EI53" s="505"/>
      <c r="EJ53" s="506"/>
      <c r="EK53" s="506"/>
      <c r="EL53" s="506"/>
      <c r="EM53" s="505"/>
      <c r="EN53" s="506"/>
      <c r="EO53" s="506"/>
      <c r="EP53" s="506"/>
      <c r="EQ53" s="505"/>
      <c r="ER53" s="506"/>
      <c r="ES53" s="506"/>
      <c r="ET53" s="506"/>
      <c r="EU53" s="505"/>
      <c r="EV53" s="506"/>
      <c r="EW53" s="506"/>
      <c r="EX53" s="506"/>
      <c r="EY53" s="505"/>
      <c r="EZ53" s="506"/>
      <c r="FA53" s="506"/>
      <c r="FB53" s="506"/>
    </row>
    <row r="54" spans="1:158" ht="16.5">
      <c r="A54" s="375"/>
      <c r="B54" s="376"/>
      <c r="C54" s="373" t="s">
        <v>207</v>
      </c>
      <c r="D54" s="373" t="s">
        <v>236</v>
      </c>
      <c r="E54" s="187"/>
      <c r="F54" s="382">
        <v>350000</v>
      </c>
      <c r="G54" s="382">
        <v>350000</v>
      </c>
      <c r="H54" s="382">
        <v>632592</v>
      </c>
      <c r="I54" s="382">
        <f>'[16]B2.1.6'!E10</f>
        <v>350000</v>
      </c>
      <c r="J54" s="392">
        <f>'[16]B2.1.6'!D10</f>
        <v>350000</v>
      </c>
      <c r="K54" s="494"/>
      <c r="M54" s="506"/>
      <c r="N54" s="506"/>
      <c r="O54" s="505"/>
      <c r="P54" s="506"/>
      <c r="Q54" s="506"/>
      <c r="R54" s="506"/>
      <c r="S54" s="505"/>
      <c r="T54" s="506"/>
      <c r="U54" s="506"/>
      <c r="V54" s="506"/>
      <c r="W54" s="505"/>
      <c r="X54" s="506"/>
      <c r="Y54" s="506"/>
      <c r="Z54" s="506"/>
      <c r="AA54" s="505"/>
      <c r="AB54" s="506"/>
      <c r="AC54" s="506"/>
      <c r="AD54" s="506"/>
      <c r="AE54" s="505"/>
      <c r="AF54" s="506"/>
      <c r="AG54" s="506"/>
      <c r="AH54" s="506"/>
      <c r="AI54" s="505"/>
      <c r="AJ54" s="506"/>
      <c r="AK54" s="506"/>
      <c r="AL54" s="506"/>
      <c r="AM54" s="505"/>
      <c r="AN54" s="506"/>
      <c r="AO54" s="506"/>
      <c r="AP54" s="506"/>
      <c r="AQ54" s="505"/>
      <c r="AR54" s="506"/>
      <c r="AS54" s="506"/>
      <c r="AT54" s="506"/>
      <c r="AU54" s="505"/>
      <c r="AV54" s="506"/>
      <c r="AW54" s="506"/>
      <c r="AX54" s="506"/>
      <c r="AY54" s="505"/>
      <c r="AZ54" s="506"/>
      <c r="BA54" s="506"/>
      <c r="BB54" s="506"/>
      <c r="BC54" s="505"/>
      <c r="BD54" s="506"/>
      <c r="BE54" s="506"/>
      <c r="BF54" s="506"/>
      <c r="BG54" s="505"/>
      <c r="BH54" s="506"/>
      <c r="BI54" s="506"/>
      <c r="BJ54" s="506"/>
      <c r="BK54" s="505"/>
      <c r="BL54" s="506"/>
      <c r="BM54" s="506"/>
      <c r="BN54" s="506"/>
      <c r="BO54" s="505"/>
      <c r="BP54" s="506"/>
      <c r="BQ54" s="506"/>
      <c r="BR54" s="506"/>
      <c r="BS54" s="505"/>
      <c r="BT54" s="506"/>
      <c r="BU54" s="506"/>
      <c r="BV54" s="506"/>
      <c r="BW54" s="505"/>
      <c r="BX54" s="506"/>
      <c r="BY54" s="506"/>
      <c r="BZ54" s="506"/>
      <c r="CA54" s="505"/>
      <c r="CB54" s="506"/>
      <c r="CC54" s="506"/>
      <c r="CD54" s="506"/>
      <c r="CE54" s="505"/>
      <c r="CF54" s="506"/>
      <c r="CG54" s="506"/>
      <c r="CH54" s="506"/>
      <c r="CI54" s="505"/>
      <c r="CJ54" s="506"/>
      <c r="CK54" s="506"/>
      <c r="CL54" s="506"/>
      <c r="CM54" s="505"/>
      <c r="CN54" s="506"/>
      <c r="CO54" s="506"/>
      <c r="CP54" s="506"/>
      <c r="CQ54" s="505"/>
      <c r="CR54" s="506"/>
      <c r="CS54" s="506"/>
      <c r="CT54" s="506"/>
      <c r="CU54" s="505"/>
      <c r="CV54" s="506"/>
      <c r="CW54" s="506"/>
      <c r="CX54" s="506"/>
      <c r="CY54" s="505"/>
      <c r="CZ54" s="506"/>
      <c r="DA54" s="506"/>
      <c r="DB54" s="506"/>
      <c r="DC54" s="505"/>
      <c r="DD54" s="506"/>
      <c r="DE54" s="506"/>
      <c r="DF54" s="506"/>
      <c r="DG54" s="505"/>
      <c r="DH54" s="506"/>
      <c r="DI54" s="506"/>
      <c r="DJ54" s="506"/>
      <c r="DK54" s="505"/>
      <c r="DL54" s="506"/>
      <c r="DM54" s="506"/>
      <c r="DN54" s="506"/>
      <c r="DO54" s="505"/>
      <c r="DP54" s="506"/>
      <c r="DQ54" s="506"/>
      <c r="DR54" s="506"/>
      <c r="DS54" s="505"/>
      <c r="DT54" s="506"/>
      <c r="DU54" s="506"/>
      <c r="DV54" s="506"/>
      <c r="DW54" s="505"/>
      <c r="DX54" s="506"/>
      <c r="DY54" s="506"/>
      <c r="DZ54" s="506"/>
      <c r="EA54" s="505"/>
      <c r="EB54" s="506"/>
      <c r="EC54" s="506"/>
      <c r="ED54" s="506"/>
      <c r="EE54" s="505"/>
      <c r="EF54" s="506"/>
      <c r="EG54" s="506"/>
      <c r="EH54" s="506"/>
      <c r="EI54" s="505"/>
      <c r="EJ54" s="506"/>
      <c r="EK54" s="506"/>
      <c r="EL54" s="506"/>
      <c r="EM54" s="505"/>
      <c r="EN54" s="506"/>
      <c r="EO54" s="506"/>
      <c r="EP54" s="506"/>
      <c r="EQ54" s="505"/>
      <c r="ER54" s="506"/>
      <c r="ES54" s="506"/>
      <c r="ET54" s="506"/>
      <c r="EU54" s="505"/>
      <c r="EV54" s="506"/>
      <c r="EW54" s="506"/>
      <c r="EX54" s="506"/>
      <c r="EY54" s="505"/>
      <c r="EZ54" s="506"/>
      <c r="FA54" s="506"/>
      <c r="FB54" s="506"/>
    </row>
    <row r="55" spans="1:12" ht="16.5">
      <c r="A55" s="375"/>
      <c r="B55" s="376"/>
      <c r="C55" s="373"/>
      <c r="D55" s="403"/>
      <c r="E55" s="187"/>
      <c r="F55" s="382"/>
      <c r="G55" s="382"/>
      <c r="H55" s="382"/>
      <c r="I55" s="382"/>
      <c r="J55" s="392"/>
      <c r="K55" s="494"/>
      <c r="L55" s="507">
        <f>F18*0.74</f>
        <v>1736324.16</v>
      </c>
    </row>
    <row r="56" spans="1:12" ht="16.5">
      <c r="A56" s="372"/>
      <c r="B56" s="373" t="s">
        <v>237</v>
      </c>
      <c r="C56" s="373"/>
      <c r="D56" s="373"/>
      <c r="E56" s="187">
        <v>0</v>
      </c>
      <c r="F56" s="382">
        <f>'[16]B2.2'!H9</f>
        <v>210500</v>
      </c>
      <c r="G56" s="382">
        <f>G17-10000</f>
        <v>310000</v>
      </c>
      <c r="H56" s="382">
        <f>H17-10000</f>
        <v>585000</v>
      </c>
      <c r="I56" s="508">
        <v>225000</v>
      </c>
      <c r="J56" s="509">
        <v>225000</v>
      </c>
      <c r="K56" s="496"/>
      <c r="L56" s="233">
        <f>F58</f>
        <v>1677541</v>
      </c>
    </row>
    <row r="57" spans="1:12" ht="16.5">
      <c r="A57" s="372"/>
      <c r="B57" s="373"/>
      <c r="C57" s="373"/>
      <c r="D57" s="373"/>
      <c r="E57" s="187"/>
      <c r="F57" s="382"/>
      <c r="G57" s="382"/>
      <c r="H57" s="382"/>
      <c r="I57" s="382"/>
      <c r="J57" s="392"/>
      <c r="K57" s="494"/>
      <c r="L57" s="233">
        <f>L56-L55</f>
        <v>-58783.159999999916</v>
      </c>
    </row>
    <row r="58" spans="1:11" ht="16.5">
      <c r="A58" s="372"/>
      <c r="B58" s="373" t="s">
        <v>238</v>
      </c>
      <c r="C58" s="373"/>
      <c r="D58" s="373"/>
      <c r="E58" s="187">
        <v>1933316</v>
      </c>
      <c r="F58" s="382">
        <f>'[16]B2.3'!I9</f>
        <v>1677541</v>
      </c>
      <c r="G58" s="382">
        <v>1810000</v>
      </c>
      <c r="H58" s="382">
        <f>H18*0.7</f>
        <v>1631968.793</v>
      </c>
      <c r="I58" s="382">
        <f>950000</f>
        <v>950000</v>
      </c>
      <c r="J58" s="392">
        <f>I58</f>
        <v>950000</v>
      </c>
      <c r="K58" s="510"/>
    </row>
    <row r="59" spans="1:11" ht="16.5">
      <c r="A59" s="372"/>
      <c r="B59" s="373"/>
      <c r="C59" s="373"/>
      <c r="D59" s="373"/>
      <c r="E59" s="499"/>
      <c r="F59" s="511"/>
      <c r="G59" s="511"/>
      <c r="H59" s="511"/>
      <c r="I59" s="511"/>
      <c r="J59" s="392"/>
      <c r="K59" s="494"/>
    </row>
    <row r="60" spans="1:11" ht="16.5" customHeight="1" hidden="1">
      <c r="A60" s="372"/>
      <c r="B60" s="373" t="s">
        <v>239</v>
      </c>
      <c r="C60" s="373"/>
      <c r="D60" s="373" t="s">
        <v>240</v>
      </c>
      <c r="E60" s="187">
        <v>0</v>
      </c>
      <c r="F60" s="382"/>
      <c r="G60" s="382"/>
      <c r="H60" s="382"/>
      <c r="I60" s="382"/>
      <c r="J60" s="392"/>
      <c r="K60" s="494"/>
    </row>
    <row r="61" spans="1:11" ht="16.5">
      <c r="A61" s="406"/>
      <c r="B61" s="377"/>
      <c r="C61" s="377"/>
      <c r="D61" s="376"/>
      <c r="E61" s="308"/>
      <c r="F61" s="391"/>
      <c r="G61" s="391"/>
      <c r="H61" s="391"/>
      <c r="I61" s="391"/>
      <c r="J61" s="392"/>
      <c r="K61" s="494"/>
    </row>
    <row r="62" spans="1:12" ht="16.5">
      <c r="A62" s="406"/>
      <c r="B62" s="373" t="s">
        <v>241</v>
      </c>
      <c r="C62" s="373"/>
      <c r="D62" s="373"/>
      <c r="E62" s="315">
        <f>SUM(E49:E60)</f>
        <v>2054517</v>
      </c>
      <c r="F62" s="407">
        <f>F49+F50+F51+F53+F58+F52+F56+F54</f>
        <v>2463760.96</v>
      </c>
      <c r="G62" s="407">
        <f>G49+G50+G51+G53+G58+G52+G56+G54</f>
        <v>2683415.96</v>
      </c>
      <c r="H62" s="407">
        <f>H49+H50+H51+H53+H58+H52+H56+H54</f>
        <v>3032822.7014</v>
      </c>
      <c r="I62" s="407">
        <f>I49+I50+I51+I53+I58+I52+I56+I54</f>
        <v>1708262</v>
      </c>
      <c r="J62" s="512">
        <f>J49+J50+J51+J53+J58+J52+J56+J54</f>
        <v>1708261.9084</v>
      </c>
      <c r="K62" s="496"/>
      <c r="L62" s="189"/>
    </row>
    <row r="63" spans="1:12" ht="16.5">
      <c r="A63" s="406"/>
      <c r="B63" s="377"/>
      <c r="C63" s="377"/>
      <c r="D63" s="376"/>
      <c r="E63" s="308"/>
      <c r="F63" s="409"/>
      <c r="G63" s="409"/>
      <c r="H63" s="409"/>
      <c r="I63" s="409"/>
      <c r="J63" s="392"/>
      <c r="K63" s="500"/>
      <c r="L63" s="233"/>
    </row>
    <row r="64" spans="1:12" ht="16.5">
      <c r="A64" s="406"/>
      <c r="B64" s="373" t="s">
        <v>242</v>
      </c>
      <c r="C64" s="373"/>
      <c r="D64" s="373"/>
      <c r="E64" s="315">
        <f aca="true" t="shared" si="0" ref="E64:J64">E62+E40</f>
        <v>4082625</v>
      </c>
      <c r="F64" s="407">
        <f t="shared" si="0"/>
        <v>4603896.289876319</v>
      </c>
      <c r="G64" s="407">
        <f t="shared" si="0"/>
        <v>4732963.401515273</v>
      </c>
      <c r="H64" s="407">
        <f t="shared" si="0"/>
        <v>5099436.8014</v>
      </c>
      <c r="I64" s="407">
        <f t="shared" si="0"/>
        <v>3825582</v>
      </c>
      <c r="J64" s="512">
        <f t="shared" si="0"/>
        <v>3826660.9084</v>
      </c>
      <c r="K64" s="494"/>
      <c r="L64" s="507"/>
    </row>
    <row r="65" spans="1:12" ht="16.5">
      <c r="A65" s="406"/>
      <c r="B65" s="377"/>
      <c r="C65" s="377"/>
      <c r="D65" s="376"/>
      <c r="E65" s="308"/>
      <c r="F65" s="391"/>
      <c r="G65" s="391"/>
      <c r="H65" s="391"/>
      <c r="I65" s="391"/>
      <c r="J65" s="392"/>
      <c r="K65" s="500"/>
      <c r="L65" s="507"/>
    </row>
    <row r="66" spans="1:11" ht="16.5">
      <c r="A66" s="406"/>
      <c r="B66" s="589" t="s">
        <v>243</v>
      </c>
      <c r="C66" s="590"/>
      <c r="D66" s="590"/>
      <c r="E66" s="410">
        <f aca="true" t="shared" si="1" ref="E66:J66">E23-E64</f>
        <v>9996</v>
      </c>
      <c r="F66" s="410">
        <f t="shared" si="1"/>
        <v>-204754.28987631854</v>
      </c>
      <c r="G66" s="410">
        <f t="shared" si="1"/>
        <v>341292.5984847266</v>
      </c>
      <c r="H66" s="410">
        <f t="shared" si="1"/>
        <v>-39855.954600000754</v>
      </c>
      <c r="I66" s="410">
        <f t="shared" si="1"/>
        <v>40604.26680000033</v>
      </c>
      <c r="J66" s="513">
        <f t="shared" si="1"/>
        <v>-243066.64159999974</v>
      </c>
      <c r="K66" s="496"/>
    </row>
    <row r="67" spans="1:11" ht="16.5">
      <c r="A67" s="406"/>
      <c r="B67" s="377"/>
      <c r="C67" s="377"/>
      <c r="D67" s="376"/>
      <c r="E67" s="503"/>
      <c r="F67" s="504"/>
      <c r="G67" s="504"/>
      <c r="H67" s="504"/>
      <c r="I67" s="504"/>
      <c r="J67" s="392"/>
      <c r="K67" s="500"/>
    </row>
    <row r="68" spans="1:11" ht="16.5">
      <c r="A68" s="411" t="s">
        <v>244</v>
      </c>
      <c r="B68" s="377" t="s">
        <v>245</v>
      </c>
      <c r="C68" s="377"/>
      <c r="D68" s="376"/>
      <c r="E68" s="308"/>
      <c r="F68" s="391"/>
      <c r="G68" s="391"/>
      <c r="H68" s="391"/>
      <c r="I68" s="391"/>
      <c r="J68" s="392"/>
      <c r="K68" s="500"/>
    </row>
    <row r="69" spans="1:11" ht="16.5">
      <c r="A69" s="406"/>
      <c r="B69" s="412"/>
      <c r="C69" s="412"/>
      <c r="D69" s="376"/>
      <c r="E69" s="308"/>
      <c r="F69" s="391"/>
      <c r="G69" s="391"/>
      <c r="H69" s="391"/>
      <c r="I69" s="391"/>
      <c r="J69" s="392"/>
      <c r="K69" s="500"/>
    </row>
    <row r="70" spans="1:11" ht="16.5">
      <c r="A70" s="406"/>
      <c r="B70" s="376"/>
      <c r="C70" s="412" t="s">
        <v>246</v>
      </c>
      <c r="D70" s="376"/>
      <c r="E70" s="187">
        <v>160</v>
      </c>
      <c r="F70" s="382">
        <v>100</v>
      </c>
      <c r="G70" s="382">
        <v>150</v>
      </c>
      <c r="H70" s="382">
        <v>100</v>
      </c>
      <c r="I70" s="382">
        <v>100</v>
      </c>
      <c r="J70" s="495">
        <v>100</v>
      </c>
      <c r="K70" s="500"/>
    </row>
    <row r="71" spans="1:11" ht="16.5">
      <c r="A71" s="406"/>
      <c r="B71" s="376"/>
      <c r="C71" s="412" t="s">
        <v>247</v>
      </c>
      <c r="D71" s="376"/>
      <c r="E71" s="187">
        <v>161</v>
      </c>
      <c r="F71" s="382">
        <v>7350</v>
      </c>
      <c r="G71" s="382">
        <v>150</v>
      </c>
      <c r="H71" s="382">
        <v>0</v>
      </c>
      <c r="I71" s="382">
        <v>7350</v>
      </c>
      <c r="J71" s="495">
        <v>7350</v>
      </c>
      <c r="K71" s="500"/>
    </row>
    <row r="72" spans="1:11" ht="16.5">
      <c r="A72" s="406"/>
      <c r="B72" s="412"/>
      <c r="C72" s="412"/>
      <c r="D72" s="376"/>
      <c r="E72" s="308"/>
      <c r="F72" s="391"/>
      <c r="G72" s="391"/>
      <c r="H72" s="391"/>
      <c r="I72" s="391"/>
      <c r="J72" s="392"/>
      <c r="K72" s="500"/>
    </row>
    <row r="73" spans="1:11" ht="16.5">
      <c r="A73" s="406"/>
      <c r="B73" s="589" t="s">
        <v>248</v>
      </c>
      <c r="C73" s="590"/>
      <c r="D73" s="590"/>
      <c r="E73" s="410">
        <f>E70-E71</f>
        <v>-1</v>
      </c>
      <c r="F73" s="410">
        <f>F70-F71</f>
        <v>-7250</v>
      </c>
      <c r="G73" s="410">
        <v>0</v>
      </c>
      <c r="H73" s="410">
        <f>H70-H71</f>
        <v>100</v>
      </c>
      <c r="I73" s="410">
        <f>I70-I71</f>
        <v>-7250</v>
      </c>
      <c r="J73" s="513">
        <f>J70-J71</f>
        <v>-7250</v>
      </c>
      <c r="K73" s="500"/>
    </row>
    <row r="74" spans="1:11" ht="16.5">
      <c r="A74" s="406"/>
      <c r="B74" s="412"/>
      <c r="C74" s="412"/>
      <c r="D74" s="376"/>
      <c r="E74" s="308"/>
      <c r="F74" s="391"/>
      <c r="G74" s="391"/>
      <c r="H74" s="391"/>
      <c r="I74" s="391"/>
      <c r="J74" s="392"/>
      <c r="K74" s="500"/>
    </row>
    <row r="75" spans="1:11" ht="16.5">
      <c r="A75" s="411" t="s">
        <v>249</v>
      </c>
      <c r="B75" s="377" t="s">
        <v>250</v>
      </c>
      <c r="C75" s="377"/>
      <c r="D75" s="376"/>
      <c r="E75" s="308"/>
      <c r="F75" s="391"/>
      <c r="G75" s="391"/>
      <c r="H75" s="391"/>
      <c r="I75" s="391"/>
      <c r="J75" s="392"/>
      <c r="K75" s="500"/>
    </row>
    <row r="76" spans="1:11" ht="16.5">
      <c r="A76" s="406"/>
      <c r="B76" s="412"/>
      <c r="C76" s="412"/>
      <c r="D76" s="376"/>
      <c r="E76" s="308"/>
      <c r="F76" s="391"/>
      <c r="G76" s="391"/>
      <c r="H76" s="391"/>
      <c r="I76" s="391"/>
      <c r="J76" s="392"/>
      <c r="K76" s="500"/>
    </row>
    <row r="77" spans="1:11" ht="16.5">
      <c r="A77" s="406"/>
      <c r="B77" s="412"/>
      <c r="C77" s="412" t="s">
        <v>251</v>
      </c>
      <c r="D77" s="413"/>
      <c r="E77" s="188"/>
      <c r="F77" s="414"/>
      <c r="G77" s="414"/>
      <c r="H77" s="414"/>
      <c r="I77" s="414"/>
      <c r="J77" s="392"/>
      <c r="K77" s="500"/>
    </row>
    <row r="78" spans="1:11" ht="16.5">
      <c r="A78" s="406"/>
      <c r="B78" s="412"/>
      <c r="C78" s="412"/>
      <c r="D78" s="412" t="s">
        <v>252</v>
      </c>
      <c r="E78" s="314">
        <f>263117+53</f>
        <v>263170</v>
      </c>
      <c r="F78" s="382"/>
      <c r="G78" s="382">
        <f>'[16]D1'!F14</f>
        <v>526.62</v>
      </c>
      <c r="H78" s="382"/>
      <c r="I78" s="382"/>
      <c r="J78" s="392"/>
      <c r="K78" s="500"/>
    </row>
    <row r="79" spans="1:11" ht="16.5">
      <c r="A79" s="406"/>
      <c r="B79" s="412"/>
      <c r="C79" s="412" t="s">
        <v>253</v>
      </c>
      <c r="D79" s="413"/>
      <c r="E79" s="187"/>
      <c r="F79" s="382"/>
      <c r="G79" s="188"/>
      <c r="H79" s="382"/>
      <c r="I79" s="382"/>
      <c r="J79" s="392"/>
      <c r="K79" s="500"/>
    </row>
    <row r="80" spans="1:11" ht="16.5">
      <c r="A80" s="406"/>
      <c r="B80" s="412"/>
      <c r="C80" s="412"/>
      <c r="D80" s="412" t="s">
        <v>254</v>
      </c>
      <c r="E80" s="187">
        <f>130246</f>
        <v>130246</v>
      </c>
      <c r="F80" s="382"/>
      <c r="G80" s="382">
        <f>'[16]D2'!D9</f>
        <v>59227.06</v>
      </c>
      <c r="H80" s="382"/>
      <c r="I80" s="382"/>
      <c r="J80" s="392"/>
      <c r="K80" s="500"/>
    </row>
    <row r="81" spans="1:11" ht="16.5">
      <c r="A81" s="406"/>
      <c r="B81" s="412"/>
      <c r="C81" s="412"/>
      <c r="D81" s="413" t="s">
        <v>360</v>
      </c>
      <c r="E81" s="308"/>
      <c r="F81" s="391"/>
      <c r="G81" s="391"/>
      <c r="H81" s="391"/>
      <c r="I81" s="391"/>
      <c r="J81" s="392"/>
      <c r="K81" s="500"/>
    </row>
    <row r="82" spans="1:11" ht="16.5">
      <c r="A82" s="406"/>
      <c r="B82" s="412"/>
      <c r="C82" s="412"/>
      <c r="D82" s="413"/>
      <c r="E82" s="308"/>
      <c r="F82" s="391"/>
      <c r="G82" s="391"/>
      <c r="H82" s="391"/>
      <c r="I82" s="391"/>
      <c r="J82" s="392"/>
      <c r="K82" s="500"/>
    </row>
    <row r="83" spans="1:11" ht="16.5">
      <c r="A83" s="406"/>
      <c r="B83" s="377" t="s">
        <v>255</v>
      </c>
      <c r="C83" s="412"/>
      <c r="D83" s="412"/>
      <c r="E83" s="410">
        <f>E78-E80</f>
        <v>132924</v>
      </c>
      <c r="F83" s="410">
        <f>F78-F80</f>
        <v>0</v>
      </c>
      <c r="G83" s="410">
        <f>G78-G80</f>
        <v>-58700.439999999995</v>
      </c>
      <c r="H83" s="415">
        <v>0</v>
      </c>
      <c r="I83" s="415">
        <v>0</v>
      </c>
      <c r="J83" s="392">
        <v>0</v>
      </c>
      <c r="K83" s="500"/>
    </row>
    <row r="84" spans="1:11" ht="16.5">
      <c r="A84" s="406"/>
      <c r="B84" s="377"/>
      <c r="C84" s="412"/>
      <c r="D84" s="412"/>
      <c r="E84" s="315"/>
      <c r="F84" s="416"/>
      <c r="G84" s="416"/>
      <c r="H84" s="416"/>
      <c r="I84" s="416"/>
      <c r="J84" s="392"/>
      <c r="K84" s="500"/>
    </row>
    <row r="85" spans="1:11" ht="16.5">
      <c r="A85" s="411" t="s">
        <v>256</v>
      </c>
      <c r="B85" s="377" t="s">
        <v>257</v>
      </c>
      <c r="C85" s="412"/>
      <c r="D85" s="412"/>
      <c r="E85" s="315"/>
      <c r="F85" s="416"/>
      <c r="G85" s="416"/>
      <c r="H85" s="416"/>
      <c r="I85" s="416"/>
      <c r="J85" s="392"/>
      <c r="K85" s="500"/>
    </row>
    <row r="86" spans="1:11" ht="16.5">
      <c r="A86" s="411"/>
      <c r="B86" s="377"/>
      <c r="C86" s="412" t="s">
        <v>258</v>
      </c>
      <c r="D86" s="412"/>
      <c r="E86" s="188"/>
      <c r="F86" s="511"/>
      <c r="G86" s="511"/>
      <c r="H86" s="511"/>
      <c r="I86" s="511"/>
      <c r="J86" s="392"/>
      <c r="K86" s="500"/>
    </row>
    <row r="87" spans="1:11" ht="16.5">
      <c r="A87" s="411"/>
      <c r="B87" s="377"/>
      <c r="C87" s="412" t="s">
        <v>259</v>
      </c>
      <c r="D87" s="412"/>
      <c r="E87" s="315"/>
      <c r="F87" s="416"/>
      <c r="G87" s="416"/>
      <c r="H87" s="416"/>
      <c r="I87" s="416"/>
      <c r="J87" s="392"/>
      <c r="K87" s="500"/>
    </row>
    <row r="88" spans="1:11" ht="16.5">
      <c r="A88" s="411"/>
      <c r="B88" s="377"/>
      <c r="C88" s="412"/>
      <c r="D88" s="412"/>
      <c r="E88" s="315"/>
      <c r="F88" s="416"/>
      <c r="G88" s="416"/>
      <c r="H88" s="416"/>
      <c r="I88" s="416"/>
      <c r="J88" s="392"/>
      <c r="K88" s="500"/>
    </row>
    <row r="89" spans="1:11" ht="16.5">
      <c r="A89" s="411"/>
      <c r="B89" s="377" t="s">
        <v>260</v>
      </c>
      <c r="C89" s="412"/>
      <c r="D89" s="412"/>
      <c r="E89" s="417"/>
      <c r="F89" s="416"/>
      <c r="G89" s="416"/>
      <c r="H89" s="416"/>
      <c r="I89" s="416"/>
      <c r="J89" s="392"/>
      <c r="K89" s="500"/>
    </row>
    <row r="90" spans="1:11" ht="16.5">
      <c r="A90" s="406"/>
      <c r="B90" s="412"/>
      <c r="C90" s="412"/>
      <c r="D90" s="413"/>
      <c r="E90" s="314"/>
      <c r="F90" s="414"/>
      <c r="G90" s="414"/>
      <c r="H90" s="414"/>
      <c r="I90" s="414"/>
      <c r="J90" s="392"/>
      <c r="K90" s="500"/>
    </row>
    <row r="91" spans="1:11" ht="16.5">
      <c r="A91" s="406"/>
      <c r="B91" s="591" t="s">
        <v>261</v>
      </c>
      <c r="C91" s="592"/>
      <c r="D91" s="592"/>
      <c r="E91" s="594">
        <f>E66+E73+E83+E89</f>
        <v>142919</v>
      </c>
      <c r="F91" s="594">
        <v>0</v>
      </c>
      <c r="G91" s="594">
        <f>G66+G73+G83</f>
        <v>282592.1584847266</v>
      </c>
      <c r="H91" s="594">
        <f>H66+H73+H83</f>
        <v>-39755.954600000754</v>
      </c>
      <c r="I91" s="594">
        <f>I66+I73+I83</f>
        <v>33354.26680000033</v>
      </c>
      <c r="J91" s="596">
        <f>J66+J73+J83</f>
        <v>-250316.64159999974</v>
      </c>
      <c r="K91" s="418"/>
    </row>
    <row r="92" spans="1:11" ht="17.25" thickBot="1">
      <c r="A92" s="419"/>
      <c r="B92" s="593"/>
      <c r="C92" s="593"/>
      <c r="D92" s="593"/>
      <c r="E92" s="595"/>
      <c r="F92" s="595"/>
      <c r="G92" s="595"/>
      <c r="H92" s="595"/>
      <c r="I92" s="595"/>
      <c r="J92" s="597"/>
      <c r="K92" s="420"/>
    </row>
    <row r="93" spans="1:11" ht="16.5">
      <c r="A93" s="514"/>
      <c r="B93" s="515"/>
      <c r="C93" s="515"/>
      <c r="D93" s="515"/>
      <c r="E93" s="421"/>
      <c r="F93" s="422"/>
      <c r="G93" s="422"/>
      <c r="H93" s="422"/>
      <c r="I93" s="422"/>
      <c r="J93" s="423"/>
      <c r="K93" s="233"/>
    </row>
    <row r="94" spans="1:11" ht="16.5">
      <c r="A94" s="516"/>
      <c r="B94" s="516" t="s">
        <v>262</v>
      </c>
      <c r="C94" s="516"/>
      <c r="D94" s="517"/>
      <c r="E94" s="316"/>
      <c r="F94" s="420"/>
      <c r="G94" s="420"/>
      <c r="H94" s="420"/>
      <c r="I94" s="420"/>
      <c r="J94" s="233"/>
      <c r="K94" s="233"/>
    </row>
    <row r="95" spans="1:11" ht="16.5">
      <c r="A95" s="514"/>
      <c r="B95" s="514"/>
      <c r="C95" s="514"/>
      <c r="D95" s="518"/>
      <c r="E95" s="316"/>
      <c r="F95" s="519"/>
      <c r="G95" s="519"/>
      <c r="H95" s="418"/>
      <c r="I95" s="418"/>
      <c r="J95" s="233"/>
      <c r="K95" s="233"/>
    </row>
    <row r="96" spans="1:11" ht="16.5">
      <c r="A96" s="514"/>
      <c r="B96" s="514" t="s">
        <v>263</v>
      </c>
      <c r="C96" s="514"/>
      <c r="D96" s="518"/>
      <c r="E96" s="316"/>
      <c r="F96" s="420"/>
      <c r="G96" s="420"/>
      <c r="H96" s="420"/>
      <c r="I96" s="420"/>
      <c r="J96" s="233"/>
      <c r="K96" s="233"/>
    </row>
    <row r="97" spans="1:11" ht="16.5">
      <c r="A97" s="514"/>
      <c r="B97" s="514" t="s">
        <v>264</v>
      </c>
      <c r="C97" s="514"/>
      <c r="D97" s="518"/>
      <c r="E97" s="316"/>
      <c r="F97" s="418"/>
      <c r="G97" s="418"/>
      <c r="H97" s="418"/>
      <c r="I97" s="418"/>
      <c r="J97" s="233"/>
      <c r="K97" s="233"/>
    </row>
    <row r="98" spans="1:11" ht="16.5">
      <c r="A98" s="514"/>
      <c r="B98" s="514" t="s">
        <v>265</v>
      </c>
      <c r="C98" s="514"/>
      <c r="D98" s="518"/>
      <c r="E98" s="316"/>
      <c r="F98" s="420"/>
      <c r="G98" s="420"/>
      <c r="H98" s="420"/>
      <c r="I98" s="420"/>
      <c r="J98" s="233"/>
      <c r="K98" s="233"/>
    </row>
    <row r="99" spans="1:11" ht="16.5">
      <c r="A99" s="514"/>
      <c r="B99" s="514"/>
      <c r="C99" s="514"/>
      <c r="D99" s="514"/>
      <c r="E99" s="316"/>
      <c r="F99" s="418"/>
      <c r="G99" s="418"/>
      <c r="H99" s="418"/>
      <c r="I99" s="418"/>
      <c r="J99" s="233"/>
      <c r="K99" s="233"/>
    </row>
    <row r="100" spans="1:11" ht="16.5">
      <c r="A100" s="514"/>
      <c r="B100" s="516" t="s">
        <v>266</v>
      </c>
      <c r="C100" s="514"/>
      <c r="D100" s="514"/>
      <c r="E100" s="316"/>
      <c r="F100" s="420"/>
      <c r="G100" s="420"/>
      <c r="H100" s="420"/>
      <c r="I100" s="420"/>
      <c r="J100" s="233"/>
      <c r="K100" s="233"/>
    </row>
    <row r="101" spans="1:9" ht="15">
      <c r="A101" s="514"/>
      <c r="B101" s="506"/>
      <c r="D101" s="514"/>
      <c r="E101" s="520"/>
      <c r="F101" s="520"/>
      <c r="G101" s="520"/>
      <c r="H101" s="520"/>
      <c r="I101" s="520"/>
    </row>
    <row r="102" spans="1:9" ht="15.75" thickBot="1">
      <c r="A102" s="521"/>
      <c r="B102" s="598"/>
      <c r="C102" s="598"/>
      <c r="D102" s="598"/>
      <c r="E102" s="520"/>
      <c r="F102" s="520"/>
      <c r="G102" s="520"/>
      <c r="H102" s="520"/>
      <c r="I102" s="520"/>
    </row>
    <row r="103" spans="1:9" ht="15.75" customHeight="1" thickBot="1">
      <c r="A103" s="521"/>
      <c r="B103" s="599" t="s">
        <v>457</v>
      </c>
      <c r="C103" s="600"/>
      <c r="D103" s="601"/>
      <c r="E103" s="426">
        <f>G91</f>
        <v>282592.1584847266</v>
      </c>
      <c r="F103" s="178"/>
      <c r="G103" s="178"/>
      <c r="H103" s="178"/>
      <c r="I103" s="178"/>
    </row>
    <row r="104" spans="1:9" ht="15" customHeight="1" thickBot="1">
      <c r="A104" s="521"/>
      <c r="B104" s="599" t="s">
        <v>458</v>
      </c>
      <c r="C104" s="600"/>
      <c r="D104" s="601"/>
      <c r="E104" s="426">
        <f>H91+I91+J91</f>
        <v>-256718.32940000016</v>
      </c>
      <c r="F104" s="178"/>
      <c r="G104" s="178"/>
      <c r="H104" s="178"/>
      <c r="I104" s="178"/>
    </row>
    <row r="105" spans="1:9" ht="15.75" thickBot="1">
      <c r="A105" s="521"/>
      <c r="B105" s="522" t="s">
        <v>459</v>
      </c>
      <c r="C105" s="523"/>
      <c r="D105" s="524"/>
      <c r="E105" s="525">
        <f>917495+E91</f>
        <v>1060414</v>
      </c>
      <c r="F105" s="431"/>
      <c r="G105" s="431"/>
      <c r="H105" s="178"/>
      <c r="I105" s="178"/>
    </row>
    <row r="106" spans="1:9" ht="16.5" thickBot="1">
      <c r="A106" s="521"/>
      <c r="B106" s="602" t="s">
        <v>460</v>
      </c>
      <c r="C106" s="603"/>
      <c r="D106" s="604"/>
      <c r="E106" s="426">
        <f>SUM(E103:E105)</f>
        <v>1086287.8290847265</v>
      </c>
      <c r="F106" s="178" t="s">
        <v>461</v>
      </c>
      <c r="G106" s="178"/>
      <c r="H106" s="178"/>
      <c r="I106" s="178"/>
    </row>
    <row r="107" spans="1:9" ht="15">
      <c r="A107" s="521"/>
      <c r="B107" s="521"/>
      <c r="C107" s="521"/>
      <c r="D107" s="521"/>
      <c r="E107" s="520"/>
      <c r="F107" s="520"/>
      <c r="G107" s="520"/>
      <c r="H107" s="520"/>
      <c r="I107" s="520"/>
    </row>
    <row r="109" ht="12.75">
      <c r="A109" s="178" t="s">
        <v>462</v>
      </c>
    </row>
    <row r="110" ht="12.75">
      <c r="E110" s="526"/>
    </row>
    <row r="111" spans="2:5" ht="15">
      <c r="B111" s="605" t="s">
        <v>457</v>
      </c>
      <c r="C111" s="605"/>
      <c r="D111" s="605"/>
      <c r="E111" s="527">
        <f>E103</f>
        <v>282592.1584847266</v>
      </c>
    </row>
    <row r="112" spans="2:5" ht="15">
      <c r="B112" s="605" t="s">
        <v>463</v>
      </c>
      <c r="C112" s="605"/>
      <c r="D112" s="605"/>
      <c r="E112" s="528">
        <f>H91</f>
        <v>-39755.954600000754</v>
      </c>
    </row>
    <row r="113" spans="2:5" ht="15">
      <c r="B113" s="529" t="s">
        <v>459</v>
      </c>
      <c r="C113" s="529"/>
      <c r="D113" s="529"/>
      <c r="E113" s="527">
        <f>E105</f>
        <v>1060414</v>
      </c>
    </row>
    <row r="114" spans="2:5" ht="15.75">
      <c r="B114" s="606" t="s">
        <v>464</v>
      </c>
      <c r="C114" s="606"/>
      <c r="D114" s="606"/>
      <c r="E114" s="527">
        <f>SUM(E111:E113)</f>
        <v>1303250.203884726</v>
      </c>
    </row>
    <row r="115" spans="2:3" ht="12.75">
      <c r="B115" s="530"/>
      <c r="C115" s="530"/>
    </row>
    <row r="117" spans="1:3" ht="12.75">
      <c r="A117" s="530"/>
      <c r="B117" s="530"/>
      <c r="C117" s="530"/>
    </row>
    <row r="122" spans="2:4" ht="12.75">
      <c r="B122" s="530"/>
      <c r="C122" s="530"/>
      <c r="D122" s="530"/>
    </row>
    <row r="129" spans="2:4" ht="12.75">
      <c r="B129" s="530"/>
      <c r="C129" s="530"/>
      <c r="D129" s="530"/>
    </row>
    <row r="131" spans="2:4" ht="12.75">
      <c r="B131" s="530"/>
      <c r="C131" s="530"/>
      <c r="D131" s="530"/>
    </row>
    <row r="133" spans="2:4" ht="12.75">
      <c r="B133" s="530"/>
      <c r="C133" s="530"/>
      <c r="D133" s="530"/>
    </row>
    <row r="134" spans="2:4" ht="12.75">
      <c r="B134" s="530"/>
      <c r="C134" s="530"/>
      <c r="D134" s="530"/>
    </row>
  </sheetData>
  <sheetProtection/>
  <mergeCells count="24">
    <mergeCell ref="B103:D103"/>
    <mergeCell ref="B104:D104"/>
    <mergeCell ref="B106:D106"/>
    <mergeCell ref="B111:D111"/>
    <mergeCell ref="B112:D112"/>
    <mergeCell ref="B114:D114"/>
    <mergeCell ref="F91:F92"/>
    <mergeCell ref="G91:G92"/>
    <mergeCell ref="H91:H92"/>
    <mergeCell ref="I91:I92"/>
    <mergeCell ref="J91:J92"/>
    <mergeCell ref="B102:D102"/>
    <mergeCell ref="B42:D42"/>
    <mergeCell ref="B44:D44"/>
    <mergeCell ref="B66:D66"/>
    <mergeCell ref="B73:D73"/>
    <mergeCell ref="B91:D92"/>
    <mergeCell ref="E91:E92"/>
    <mergeCell ref="A1:J1"/>
    <mergeCell ref="A2:J3"/>
    <mergeCell ref="A4:J5"/>
    <mergeCell ref="A6:J7"/>
    <mergeCell ref="A8:J9"/>
    <mergeCell ref="B23:D23"/>
  </mergeCells>
  <printOptions/>
  <pageMargins left="0.7086614173228347" right="0.7086614173228347" top="0.7480314960629921" bottom="0.7480314960629921" header="0.31496062992125984" footer="0.31496062992125984"/>
  <pageSetup cellComments="asDisplayed" fitToWidth="0" fitToHeight="1" horizontalDpi="600" verticalDpi="600" orientation="portrait" paperSize="8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163"/>
  <sheetViews>
    <sheetView zoomScalePageLayoutView="0" workbookViewId="0" topLeftCell="A31">
      <selection activeCell="D28" sqref="D28"/>
    </sheetView>
  </sheetViews>
  <sheetFormatPr defaultColWidth="4.421875" defaultRowHeight="12.75"/>
  <cols>
    <col min="1" max="3" width="4.421875" style="178" customWidth="1"/>
    <col min="4" max="4" width="58.8515625" style="178" customWidth="1"/>
    <col min="5" max="6" width="16.421875" style="197" customWidth="1"/>
    <col min="7" max="10" width="13.7109375" style="197" customWidth="1"/>
    <col min="11" max="11" width="22.421875" style="178" hidden="1" customWidth="1"/>
    <col min="12" max="12" width="22.421875" style="178" customWidth="1"/>
    <col min="13" max="13" width="25.28125" style="178" customWidth="1"/>
    <col min="14" max="14" width="8.00390625" style="178" bestFit="1" customWidth="1"/>
    <col min="15" max="15" width="10.8515625" style="178" bestFit="1" customWidth="1"/>
    <col min="16" max="16" width="10.28125" style="178" bestFit="1" customWidth="1"/>
    <col min="17" max="16384" width="4.421875" style="178" customWidth="1"/>
  </cols>
  <sheetData>
    <row r="1" spans="1:12" ht="16.5">
      <c r="A1" s="573"/>
      <c r="B1" s="574"/>
      <c r="C1" s="574"/>
      <c r="D1" s="574"/>
      <c r="E1" s="574"/>
      <c r="F1" s="574"/>
      <c r="G1" s="574"/>
      <c r="H1" s="574"/>
      <c r="I1" s="574"/>
      <c r="J1" s="574"/>
      <c r="K1" s="575"/>
      <c r="L1" s="356"/>
    </row>
    <row r="2" spans="1:12" ht="16.5">
      <c r="A2" s="617" t="s">
        <v>191</v>
      </c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57"/>
    </row>
    <row r="3" spans="1:12" ht="16.5">
      <c r="A3" s="617"/>
      <c r="B3" s="618"/>
      <c r="C3" s="618"/>
      <c r="D3" s="618"/>
      <c r="E3" s="618"/>
      <c r="F3" s="618"/>
      <c r="G3" s="618"/>
      <c r="H3" s="618"/>
      <c r="I3" s="618"/>
      <c r="J3" s="618"/>
      <c r="K3" s="619"/>
      <c r="L3" s="357"/>
    </row>
    <row r="4" spans="1:12" ht="12.75" customHeight="1">
      <c r="A4" s="620" t="s">
        <v>396</v>
      </c>
      <c r="B4" s="621"/>
      <c r="C4" s="621"/>
      <c r="D4" s="621"/>
      <c r="E4" s="621"/>
      <c r="F4" s="621"/>
      <c r="G4" s="621"/>
      <c r="H4" s="621"/>
      <c r="I4" s="621"/>
      <c r="J4" s="621"/>
      <c r="K4" s="622"/>
      <c r="L4" s="358"/>
    </row>
    <row r="5" spans="1:12" ht="12.75" customHeight="1">
      <c r="A5" s="623"/>
      <c r="B5" s="624"/>
      <c r="C5" s="624"/>
      <c r="D5" s="624"/>
      <c r="E5" s="624"/>
      <c r="F5" s="624"/>
      <c r="G5" s="624"/>
      <c r="H5" s="624"/>
      <c r="I5" s="624"/>
      <c r="J5" s="624"/>
      <c r="K5" s="625"/>
      <c r="L5" s="358"/>
    </row>
    <row r="6" spans="1:12" ht="16.5">
      <c r="A6" s="585" t="s">
        <v>192</v>
      </c>
      <c r="B6" s="626"/>
      <c r="C6" s="626"/>
      <c r="D6" s="626"/>
      <c r="E6" s="626"/>
      <c r="F6" s="626"/>
      <c r="G6" s="626"/>
      <c r="H6" s="626"/>
      <c r="I6" s="626"/>
      <c r="J6" s="626"/>
      <c r="K6" s="587"/>
      <c r="L6" s="359"/>
    </row>
    <row r="7" spans="1:12" ht="16.5">
      <c r="A7" s="585"/>
      <c r="B7" s="626"/>
      <c r="C7" s="626"/>
      <c r="D7" s="626"/>
      <c r="E7" s="626"/>
      <c r="F7" s="626"/>
      <c r="G7" s="626"/>
      <c r="H7" s="626"/>
      <c r="I7" s="626"/>
      <c r="J7" s="626"/>
      <c r="K7" s="587"/>
      <c r="L7" s="359"/>
    </row>
    <row r="8" spans="1:12" ht="16.5">
      <c r="A8" s="585" t="s">
        <v>356</v>
      </c>
      <c r="B8" s="626"/>
      <c r="C8" s="626"/>
      <c r="D8" s="626"/>
      <c r="E8" s="626"/>
      <c r="F8" s="626"/>
      <c r="G8" s="626"/>
      <c r="H8" s="626"/>
      <c r="I8" s="626"/>
      <c r="J8" s="626"/>
      <c r="K8" s="587"/>
      <c r="L8" s="359"/>
    </row>
    <row r="9" spans="1:12" ht="16.5">
      <c r="A9" s="585"/>
      <c r="B9" s="626"/>
      <c r="C9" s="626"/>
      <c r="D9" s="626"/>
      <c r="E9" s="626"/>
      <c r="F9" s="626"/>
      <c r="G9" s="626"/>
      <c r="H9" s="626"/>
      <c r="I9" s="626"/>
      <c r="J9" s="626"/>
      <c r="K9" s="587"/>
      <c r="L9" s="359"/>
    </row>
    <row r="10" spans="1:12" ht="69">
      <c r="A10" s="360"/>
      <c r="B10" s="361"/>
      <c r="C10" s="361"/>
      <c r="D10" s="362"/>
      <c r="E10" s="363" t="s">
        <v>397</v>
      </c>
      <c r="F10" s="363" t="s">
        <v>398</v>
      </c>
      <c r="G10" s="363" t="s">
        <v>399</v>
      </c>
      <c r="H10" s="364" t="s">
        <v>400</v>
      </c>
      <c r="I10" s="364" t="s">
        <v>401</v>
      </c>
      <c r="J10" s="364" t="s">
        <v>402</v>
      </c>
      <c r="K10" s="365" t="s">
        <v>403</v>
      </c>
      <c r="L10" s="366"/>
    </row>
    <row r="11" spans="1:12" ht="16.5">
      <c r="A11" s="367"/>
      <c r="B11" s="368"/>
      <c r="C11" s="368"/>
      <c r="D11" s="368"/>
      <c r="E11" s="179"/>
      <c r="F11" s="179"/>
      <c r="G11" s="179"/>
      <c r="H11" s="369"/>
      <c r="I11" s="369"/>
      <c r="J11" s="369"/>
      <c r="K11" s="370"/>
      <c r="L11" s="196"/>
    </row>
    <row r="12" spans="1:12" ht="16.5">
      <c r="A12" s="367"/>
      <c r="B12" s="368"/>
      <c r="C12" s="368"/>
      <c r="D12" s="368"/>
      <c r="E12" s="180"/>
      <c r="F12" s="180"/>
      <c r="G12" s="180"/>
      <c r="H12" s="371"/>
      <c r="I12" s="371"/>
      <c r="J12" s="371"/>
      <c r="K12" s="370"/>
      <c r="L12" s="196"/>
    </row>
    <row r="13" spans="1:12" ht="16.5">
      <c r="A13" s="372" t="s">
        <v>193</v>
      </c>
      <c r="B13" s="373" t="s">
        <v>194</v>
      </c>
      <c r="C13" s="373"/>
      <c r="D13" s="373"/>
      <c r="E13" s="180"/>
      <c r="F13" s="180"/>
      <c r="G13" s="180"/>
      <c r="H13" s="371"/>
      <c r="I13" s="371"/>
      <c r="J13" s="371"/>
      <c r="K13" s="370"/>
      <c r="L13" s="196"/>
    </row>
    <row r="14" spans="1:12" ht="16.5">
      <c r="A14" s="372"/>
      <c r="B14" s="373"/>
      <c r="C14" s="373"/>
      <c r="D14" s="373"/>
      <c r="E14" s="181"/>
      <c r="F14" s="181"/>
      <c r="G14" s="181"/>
      <c r="H14" s="374"/>
      <c r="I14" s="374"/>
      <c r="J14" s="374"/>
      <c r="K14" s="370"/>
      <c r="L14" s="196"/>
    </row>
    <row r="15" spans="1:12" ht="16.5">
      <c r="A15" s="375"/>
      <c r="B15" s="376" t="s">
        <v>195</v>
      </c>
      <c r="C15" s="377" t="s">
        <v>196</v>
      </c>
      <c r="D15" s="373" t="s">
        <v>197</v>
      </c>
      <c r="E15" s="183">
        <v>1360442</v>
      </c>
      <c r="F15" s="183">
        <v>1360442</v>
      </c>
      <c r="G15" s="183">
        <f>'[12]Quote contributive'!B19</f>
        <v>1390442</v>
      </c>
      <c r="H15" s="378">
        <v>1360442</v>
      </c>
      <c r="I15" s="378">
        <f>H15</f>
        <v>1360442</v>
      </c>
      <c r="J15" s="378">
        <f>I15</f>
        <v>1360442</v>
      </c>
      <c r="K15" s="379">
        <f>G15-F15</f>
        <v>30000</v>
      </c>
      <c r="L15" s="380"/>
    </row>
    <row r="16" spans="1:13" ht="16.5">
      <c r="A16" s="375"/>
      <c r="B16" s="376"/>
      <c r="C16" s="381" t="s">
        <v>198</v>
      </c>
      <c r="D16" s="373" t="s">
        <v>404</v>
      </c>
      <c r="E16" s="184">
        <v>479000</v>
      </c>
      <c r="F16" s="184"/>
      <c r="G16" s="184">
        <v>150800</v>
      </c>
      <c r="H16" s="382">
        <v>350000</v>
      </c>
      <c r="I16" s="383">
        <f>H16</f>
        <v>350000</v>
      </c>
      <c r="J16" s="383">
        <f>I16</f>
        <v>350000</v>
      </c>
      <c r="K16" s="379">
        <f aca="true" t="shared" si="0" ref="K16:K23">G16-F16</f>
        <v>150800</v>
      </c>
      <c r="L16" s="380"/>
      <c r="M16" s="384"/>
    </row>
    <row r="17" spans="1:12" ht="16.5">
      <c r="A17" s="375"/>
      <c r="B17" s="376" t="s">
        <v>195</v>
      </c>
      <c r="C17" s="373" t="s">
        <v>199</v>
      </c>
      <c r="D17" s="373" t="s">
        <v>200</v>
      </c>
      <c r="E17" s="187"/>
      <c r="F17" s="187"/>
      <c r="G17" s="187">
        <f>421000/2</f>
        <v>210500</v>
      </c>
      <c r="H17" s="382">
        <v>210500</v>
      </c>
      <c r="I17" s="382"/>
      <c r="J17" s="382"/>
      <c r="K17" s="379">
        <f t="shared" si="0"/>
        <v>210500</v>
      </c>
      <c r="L17" s="380"/>
    </row>
    <row r="18" spans="1:12" ht="16.5">
      <c r="A18" s="375"/>
      <c r="B18" s="376"/>
      <c r="C18" s="373" t="s">
        <v>201</v>
      </c>
      <c r="D18" s="373" t="s">
        <v>202</v>
      </c>
      <c r="E18" s="187">
        <v>2508314</v>
      </c>
      <c r="F18" s="187">
        <v>2781199</v>
      </c>
      <c r="G18" s="187">
        <f>'[12]Progetti 2018-2020'!M48+'[12]Progetti 2018-2020'!M50+'[12]Progetti 2018-2020'!M26+'[12]Progetti 2018-2020'!M27</f>
        <v>2781199</v>
      </c>
      <c r="H18" s="382">
        <f>'[13]Progetti 2019-2021'!E40+15000</f>
        <v>2558387.261059977</v>
      </c>
      <c r="I18" s="382">
        <v>2330000</v>
      </c>
      <c r="J18" s="382">
        <f>I18</f>
        <v>2330000</v>
      </c>
      <c r="K18" s="379"/>
      <c r="L18" s="380"/>
    </row>
    <row r="19" spans="1:12" ht="16.5">
      <c r="A19" s="375"/>
      <c r="B19" s="376"/>
      <c r="C19" s="373" t="s">
        <v>203</v>
      </c>
      <c r="D19" s="373" t="s">
        <v>204</v>
      </c>
      <c r="E19" s="187">
        <v>29206</v>
      </c>
      <c r="F19" s="187">
        <v>7000</v>
      </c>
      <c r="G19" s="187">
        <f>7000+2318*2</f>
        <v>11636</v>
      </c>
      <c r="H19" s="382">
        <f>'[13]A4'!F13</f>
        <v>14272</v>
      </c>
      <c r="I19" s="382">
        <v>15000</v>
      </c>
      <c r="J19" s="382">
        <f>I19</f>
        <v>15000</v>
      </c>
      <c r="K19" s="379">
        <f t="shared" si="0"/>
        <v>4636</v>
      </c>
      <c r="L19" s="380"/>
    </row>
    <row r="20" spans="1:12" ht="16.5">
      <c r="A20" s="375"/>
      <c r="B20" s="376"/>
      <c r="C20" s="385" t="s">
        <v>205</v>
      </c>
      <c r="D20" s="385" t="s">
        <v>206</v>
      </c>
      <c r="E20" s="187">
        <v>103891</v>
      </c>
      <c r="F20" s="187">
        <v>5000</v>
      </c>
      <c r="G20" s="187">
        <f>5000+16465.49+21038.96+42077.92</f>
        <v>84582.37</v>
      </c>
      <c r="H20" s="382">
        <f>'[13]A5'!F14</f>
        <v>97544</v>
      </c>
      <c r="I20" s="382">
        <v>15000</v>
      </c>
      <c r="J20" s="382">
        <f>I20</f>
        <v>15000</v>
      </c>
      <c r="K20" s="379">
        <f t="shared" si="0"/>
        <v>79582.37</v>
      </c>
      <c r="L20" s="380"/>
    </row>
    <row r="21" spans="1:12" ht="16.5">
      <c r="A21" s="375"/>
      <c r="B21" s="376" t="s">
        <v>195</v>
      </c>
      <c r="C21" s="373" t="s">
        <v>207</v>
      </c>
      <c r="D21" s="373" t="s">
        <v>208</v>
      </c>
      <c r="E21" s="187">
        <v>28709</v>
      </c>
      <c r="F21" s="187">
        <f>40000</f>
        <v>40000</v>
      </c>
      <c r="G21" s="187">
        <f>2250.14/12+2250.14</f>
        <v>2437.6516666666666</v>
      </c>
      <c r="H21" s="382">
        <v>20000</v>
      </c>
      <c r="I21" s="382">
        <v>20000</v>
      </c>
      <c r="J21" s="382">
        <f>I21</f>
        <v>20000</v>
      </c>
      <c r="K21" s="386">
        <f t="shared" si="0"/>
        <v>-37562.348333333335</v>
      </c>
      <c r="L21" s="387"/>
    </row>
    <row r="22" spans="1:12" ht="16.5">
      <c r="A22" s="375"/>
      <c r="B22" s="376"/>
      <c r="C22" s="376"/>
      <c r="D22" s="376"/>
      <c r="E22" s="307"/>
      <c r="F22" s="307"/>
      <c r="G22" s="307"/>
      <c r="H22" s="388"/>
      <c r="I22" s="388"/>
      <c r="J22" s="388"/>
      <c r="K22" s="379"/>
      <c r="L22" s="380"/>
    </row>
    <row r="23" spans="1:13" ht="16.5">
      <c r="A23" s="375"/>
      <c r="B23" s="588" t="s">
        <v>209</v>
      </c>
      <c r="C23" s="588"/>
      <c r="D23" s="588"/>
      <c r="E23" s="315">
        <f>SUM(E15:E21)+1</f>
        <v>4509563</v>
      </c>
      <c r="F23" s="315">
        <v>4193641</v>
      </c>
      <c r="G23" s="315">
        <f>SUM(G15:G21)</f>
        <v>4631597.0216666665</v>
      </c>
      <c r="H23" s="315">
        <f>SUM(H15:H21)</f>
        <v>4611145.261059977</v>
      </c>
      <c r="I23" s="315">
        <f>SUM(I15:I21)</f>
        <v>4090442</v>
      </c>
      <c r="J23" s="315">
        <f>SUM(J15:J21)</f>
        <v>4090442</v>
      </c>
      <c r="K23" s="379">
        <f t="shared" si="0"/>
        <v>437956.0216666665</v>
      </c>
      <c r="L23" s="380"/>
      <c r="M23" s="233"/>
    </row>
    <row r="24" spans="1:12" ht="16.5">
      <c r="A24" s="375"/>
      <c r="B24" s="373"/>
      <c r="C24" s="373"/>
      <c r="D24" s="373"/>
      <c r="E24" s="307"/>
      <c r="F24" s="307"/>
      <c r="G24" s="307"/>
      <c r="H24" s="388"/>
      <c r="I24" s="388"/>
      <c r="J24" s="388"/>
      <c r="K24" s="389"/>
      <c r="L24" s="182"/>
    </row>
    <row r="25" spans="1:12" ht="16.5">
      <c r="A25" s="375"/>
      <c r="B25" s="373"/>
      <c r="C25" s="373"/>
      <c r="D25" s="373"/>
      <c r="E25" s="307"/>
      <c r="F25" s="307"/>
      <c r="G25" s="307"/>
      <c r="H25" s="388"/>
      <c r="I25" s="388"/>
      <c r="J25" s="388"/>
      <c r="K25" s="389"/>
      <c r="L25" s="182"/>
    </row>
    <row r="26" spans="1:13" ht="16.5">
      <c r="A26" s="372" t="s">
        <v>210</v>
      </c>
      <c r="B26" s="373" t="s">
        <v>211</v>
      </c>
      <c r="C26" s="373"/>
      <c r="D26" s="373"/>
      <c r="E26" s="390"/>
      <c r="F26" s="307"/>
      <c r="G26" s="307"/>
      <c r="H26" s="388"/>
      <c r="I26" s="388"/>
      <c r="J26" s="388"/>
      <c r="K26" s="389"/>
      <c r="L26" s="182"/>
      <c r="M26" s="189"/>
    </row>
    <row r="27" spans="1:12" ht="16.5">
      <c r="A27" s="372"/>
      <c r="B27" s="373"/>
      <c r="C27" s="373"/>
      <c r="D27" s="373"/>
      <c r="E27" s="307"/>
      <c r="F27" s="307"/>
      <c r="G27" s="307"/>
      <c r="H27" s="388"/>
      <c r="I27" s="388"/>
      <c r="J27" s="388"/>
      <c r="K27" s="389"/>
      <c r="L27" s="182"/>
    </row>
    <row r="28" spans="1:12" ht="16.5">
      <c r="A28" s="372"/>
      <c r="B28" s="373" t="s">
        <v>212</v>
      </c>
      <c r="C28" s="373" t="s">
        <v>213</v>
      </c>
      <c r="D28" s="373"/>
      <c r="E28" s="308"/>
      <c r="F28" s="308"/>
      <c r="G28" s="308"/>
      <c r="H28" s="391"/>
      <c r="I28" s="391"/>
      <c r="J28" s="391"/>
      <c r="K28" s="389"/>
      <c r="L28" s="182"/>
    </row>
    <row r="29" spans="1:13" ht="16.5">
      <c r="A29" s="372"/>
      <c r="B29" s="373"/>
      <c r="C29" s="373" t="s">
        <v>196</v>
      </c>
      <c r="D29" s="373" t="s">
        <v>214</v>
      </c>
      <c r="E29" s="187">
        <v>16153</v>
      </c>
      <c r="F29" s="187">
        <v>32600</v>
      </c>
      <c r="G29" s="187">
        <f>'[12]B1.1'!E15</f>
        <v>32600</v>
      </c>
      <c r="H29" s="383">
        <f>'[13]B1.1'!D15</f>
        <v>59600</v>
      </c>
      <c r="I29" s="383">
        <f>H29</f>
        <v>59600</v>
      </c>
      <c r="J29" s="383">
        <f>I29</f>
        <v>59600</v>
      </c>
      <c r="K29" s="392"/>
      <c r="L29" s="393"/>
      <c r="M29" s="178" t="s">
        <v>405</v>
      </c>
    </row>
    <row r="30" spans="1:13" ht="16.5">
      <c r="A30" s="375"/>
      <c r="B30" s="376" t="s">
        <v>195</v>
      </c>
      <c r="C30" s="377" t="s">
        <v>199</v>
      </c>
      <c r="D30" s="373" t="s">
        <v>215</v>
      </c>
      <c r="E30" s="187">
        <f>1399937+378582+105284+89839</f>
        <v>1973642</v>
      </c>
      <c r="F30" s="187">
        <v>1495611</v>
      </c>
      <c r="G30" s="187">
        <f>F30+25000</f>
        <v>1520611</v>
      </c>
      <c r="H30" s="382">
        <f>'[13]Personale 2019-2021'!B14</f>
        <v>1497766.4415152734</v>
      </c>
      <c r="I30" s="382">
        <f>'[13]Personale 2019-2021'!C14</f>
        <v>1495215.3325059973</v>
      </c>
      <c r="J30" s="382">
        <f>'[13]Personale 2019-2021'!D14</f>
        <v>1538921.3218873232</v>
      </c>
      <c r="K30" s="386">
        <f>G30-F30</f>
        <v>25000</v>
      </c>
      <c r="L30" s="387"/>
      <c r="M30" s="394">
        <v>1457774.24</v>
      </c>
    </row>
    <row r="31" spans="1:16" ht="16.5">
      <c r="A31" s="375"/>
      <c r="B31" s="376" t="s">
        <v>195</v>
      </c>
      <c r="C31" s="373" t="s">
        <v>201</v>
      </c>
      <c r="D31" s="373" t="s">
        <v>216</v>
      </c>
      <c r="E31" s="187"/>
      <c r="F31" s="187"/>
      <c r="G31" s="187"/>
      <c r="H31" s="382"/>
      <c r="I31" s="382"/>
      <c r="J31" s="382"/>
      <c r="K31" s="392"/>
      <c r="L31" s="393"/>
      <c r="M31" s="178">
        <f>49.1*778</f>
        <v>38199.8</v>
      </c>
      <c r="N31" s="178">
        <f>M31*0.22</f>
        <v>8403.956</v>
      </c>
      <c r="O31" s="395">
        <f>N31+M31</f>
        <v>46603.756</v>
      </c>
      <c r="P31" s="178" t="s">
        <v>406</v>
      </c>
    </row>
    <row r="32" spans="1:16" ht="16.5">
      <c r="A32" s="375"/>
      <c r="B32" s="376"/>
      <c r="C32" s="396" t="s">
        <v>217</v>
      </c>
      <c r="D32" s="396" t="s">
        <v>218</v>
      </c>
      <c r="E32" s="187">
        <v>59045</v>
      </c>
      <c r="F32" s="187">
        <v>61000</v>
      </c>
      <c r="G32" s="187">
        <f>'[12]B1.3.1'!E32</f>
        <v>51000</v>
      </c>
      <c r="H32" s="382">
        <f>'[13]B1.3.1'!F32</f>
        <v>64000</v>
      </c>
      <c r="I32" s="382">
        <f aca="true" t="shared" si="1" ref="I32:J36">H32</f>
        <v>64000</v>
      </c>
      <c r="J32" s="382">
        <f t="shared" si="1"/>
        <v>64000</v>
      </c>
      <c r="K32" s="379">
        <v>-10000</v>
      </c>
      <c r="L32" s="380"/>
      <c r="M32" s="178">
        <f>67.5*778</f>
        <v>52515</v>
      </c>
      <c r="N32" s="178">
        <f>M32*0.22</f>
        <v>11553.3</v>
      </c>
      <c r="O32" s="395">
        <f>N32+M32</f>
        <v>64068.3</v>
      </c>
      <c r="P32" s="178" t="s">
        <v>407</v>
      </c>
    </row>
    <row r="33" spans="1:16" ht="16.5">
      <c r="A33" s="375"/>
      <c r="B33" s="376"/>
      <c r="C33" s="396" t="s">
        <v>219</v>
      </c>
      <c r="D33" s="396" t="s">
        <v>220</v>
      </c>
      <c r="E33" s="187">
        <v>80381</v>
      </c>
      <c r="F33" s="187">
        <v>63685</v>
      </c>
      <c r="G33" s="187">
        <f>'[12]B1.3.2'!D15+5000</f>
        <v>68685</v>
      </c>
      <c r="H33" s="382">
        <f>'[13]B1.3.2'!F13+1</f>
        <v>84069.3</v>
      </c>
      <c r="I33" s="382">
        <f t="shared" si="1"/>
        <v>84069.3</v>
      </c>
      <c r="J33" s="382">
        <f t="shared" si="1"/>
        <v>84069.3</v>
      </c>
      <c r="K33" s="386">
        <v>5000</v>
      </c>
      <c r="L33" s="387"/>
      <c r="M33" s="178" t="s">
        <v>408</v>
      </c>
      <c r="O33" s="178" t="s">
        <v>409</v>
      </c>
      <c r="P33" s="395">
        <f>20000</f>
        <v>20000</v>
      </c>
    </row>
    <row r="34" spans="1:12" ht="16.5">
      <c r="A34" s="375"/>
      <c r="B34" s="376"/>
      <c r="C34" s="396" t="s">
        <v>221</v>
      </c>
      <c r="D34" s="396" t="s">
        <v>222</v>
      </c>
      <c r="E34" s="187">
        <v>286393</v>
      </c>
      <c r="F34" s="187">
        <v>404872</v>
      </c>
      <c r="G34" s="187">
        <f>'[12]B1.3.3'!E25+150000+5000</f>
        <v>458194.07039999997</v>
      </c>
      <c r="H34" s="382">
        <f>'[13]B1.3.3'!F26</f>
        <v>389699.88836104516</v>
      </c>
      <c r="I34" s="382">
        <f t="shared" si="1"/>
        <v>389699.88836104516</v>
      </c>
      <c r="J34" s="382">
        <f t="shared" si="1"/>
        <v>389699.88836104516</v>
      </c>
      <c r="K34" s="386">
        <f>G34-F34</f>
        <v>53322.07039999997</v>
      </c>
      <c r="L34" s="387"/>
    </row>
    <row r="35" spans="1:12" ht="16.5">
      <c r="A35" s="375"/>
      <c r="B35" s="376"/>
      <c r="C35" s="396"/>
      <c r="D35" s="397" t="s">
        <v>313</v>
      </c>
      <c r="E35" s="309">
        <v>89416.66666666667</v>
      </c>
      <c r="F35" s="309">
        <v>81000</v>
      </c>
      <c r="G35" s="309">
        <f>'[12]B1.3.3'!E23+'[12]B1.3.3'!E22</f>
        <v>81000</v>
      </c>
      <c r="H35" s="398">
        <f>'[13]B1.3.3'!G22+'[13]B1.3.3'!G23</f>
        <v>93947.98574821853</v>
      </c>
      <c r="I35" s="398">
        <f t="shared" si="1"/>
        <v>93947.98574821853</v>
      </c>
      <c r="J35" s="398">
        <f t="shared" si="1"/>
        <v>93947.98574821853</v>
      </c>
      <c r="K35" s="392"/>
      <c r="L35" s="393"/>
    </row>
    <row r="36" spans="1:12" ht="16.5">
      <c r="A36" s="375"/>
      <c r="B36" s="376"/>
      <c r="C36" s="396"/>
      <c r="D36" s="397" t="s">
        <v>223</v>
      </c>
      <c r="E36" s="309">
        <v>47245.138035</v>
      </c>
      <c r="F36" s="309">
        <v>47275</v>
      </c>
      <c r="G36" s="309">
        <v>47275</v>
      </c>
      <c r="H36" s="398">
        <f>'[13]B1.3.3'!G24</f>
        <v>47275</v>
      </c>
      <c r="I36" s="398">
        <f t="shared" si="1"/>
        <v>47275</v>
      </c>
      <c r="J36" s="398">
        <f t="shared" si="1"/>
        <v>47275</v>
      </c>
      <c r="K36" s="392"/>
      <c r="L36" s="393"/>
    </row>
    <row r="37" spans="1:12" ht="16.5">
      <c r="A37" s="375"/>
      <c r="B37" s="376"/>
      <c r="C37" s="373" t="s">
        <v>203</v>
      </c>
      <c r="D37" s="373" t="s">
        <v>224</v>
      </c>
      <c r="E37" s="187">
        <f>486+9414+6368+1761</f>
        <v>18029</v>
      </c>
      <c r="F37" s="187">
        <v>20000</v>
      </c>
      <c r="G37" s="187">
        <v>20000</v>
      </c>
      <c r="H37" s="382">
        <v>20000</v>
      </c>
      <c r="I37" s="382">
        <f>H37</f>
        <v>20000</v>
      </c>
      <c r="J37" s="382">
        <f>H37</f>
        <v>20000</v>
      </c>
      <c r="K37" s="392"/>
      <c r="L37" s="393"/>
    </row>
    <row r="38" spans="1:12" ht="16.5">
      <c r="A38" s="375"/>
      <c r="B38" s="376"/>
      <c r="C38" s="373" t="s">
        <v>357</v>
      </c>
      <c r="D38" s="373" t="s">
        <v>358</v>
      </c>
      <c r="E38" s="187">
        <v>163594</v>
      </c>
      <c r="F38" s="187"/>
      <c r="G38" s="187"/>
      <c r="H38" s="382"/>
      <c r="I38" s="382"/>
      <c r="J38" s="382"/>
      <c r="K38" s="392"/>
      <c r="L38" s="393"/>
    </row>
    <row r="39" spans="1:12" ht="16.5">
      <c r="A39" s="375"/>
      <c r="B39" s="376"/>
      <c r="C39" s="373"/>
      <c r="D39" s="373" t="s">
        <v>359</v>
      </c>
      <c r="E39" s="187"/>
      <c r="F39" s="187"/>
      <c r="G39" s="187"/>
      <c r="H39" s="382"/>
      <c r="I39" s="382"/>
      <c r="J39" s="382"/>
      <c r="K39" s="392"/>
      <c r="L39" s="393"/>
    </row>
    <row r="40" spans="1:12" ht="16.5">
      <c r="A40" s="375"/>
      <c r="B40" s="376"/>
      <c r="C40" s="373" t="s">
        <v>205</v>
      </c>
      <c r="D40" s="373" t="s">
        <v>225</v>
      </c>
      <c r="E40" s="187">
        <v>39206</v>
      </c>
      <c r="F40" s="187">
        <v>40000</v>
      </c>
      <c r="G40" s="187">
        <v>28000</v>
      </c>
      <c r="H40" s="382">
        <v>25000</v>
      </c>
      <c r="I40" s="382">
        <v>25000</v>
      </c>
      <c r="J40" s="382">
        <v>25000</v>
      </c>
      <c r="K40" s="379">
        <f>G40-F40</f>
        <v>-12000</v>
      </c>
      <c r="L40" s="380"/>
    </row>
    <row r="41" spans="1:12" ht="16.5">
      <c r="A41" s="372"/>
      <c r="B41" s="376"/>
      <c r="C41" s="376"/>
      <c r="D41" s="376"/>
      <c r="E41" s="308"/>
      <c r="F41" s="308"/>
      <c r="G41" s="308"/>
      <c r="H41" s="391"/>
      <c r="I41" s="391"/>
      <c r="J41" s="391"/>
      <c r="K41" s="392"/>
      <c r="L41" s="393"/>
    </row>
    <row r="42" spans="1:12" ht="16.5">
      <c r="A42" s="375"/>
      <c r="B42" s="373" t="s">
        <v>226</v>
      </c>
      <c r="C42" s="373"/>
      <c r="D42" s="373"/>
      <c r="E42" s="315">
        <f>SUM(E29:E40)-E35-E36</f>
        <v>2636443</v>
      </c>
      <c r="F42" s="315">
        <v>2117768</v>
      </c>
      <c r="G42" s="315">
        <f>G29+G30+G32+G33+G34+G37+G40</f>
        <v>2179090.0704</v>
      </c>
      <c r="H42" s="315">
        <f>H29+H30+H32+H33+H34+H37+H40-1</f>
        <v>2140134.6298763184</v>
      </c>
      <c r="I42" s="315">
        <f>I29+I30+I32+I33+I34+I37+I40-1</f>
        <v>2137583.5208670422</v>
      </c>
      <c r="J42" s="315">
        <f>J29+J30+J32+J33+J34+J37+J40-1</f>
        <v>2181289.5102483686</v>
      </c>
      <c r="K42" s="386">
        <f>G42-F42</f>
        <v>61322.070400000084</v>
      </c>
      <c r="L42" s="387"/>
    </row>
    <row r="43" spans="1:12" ht="16.5">
      <c r="A43" s="375"/>
      <c r="B43" s="373"/>
      <c r="C43" s="373"/>
      <c r="D43" s="373"/>
      <c r="E43" s="311"/>
      <c r="F43" s="311"/>
      <c r="G43" s="311"/>
      <c r="H43" s="399"/>
      <c r="I43" s="399"/>
      <c r="J43" s="399"/>
      <c r="K43" s="389"/>
      <c r="L43" s="182"/>
    </row>
    <row r="44" spans="1:12" ht="16.5">
      <c r="A44" s="375"/>
      <c r="B44" s="589" t="s">
        <v>227</v>
      </c>
      <c r="C44" s="590"/>
      <c r="D44" s="590"/>
      <c r="E44" s="311"/>
      <c r="F44" s="311"/>
      <c r="G44" s="311"/>
      <c r="H44" s="399"/>
      <c r="I44" s="399"/>
      <c r="J44" s="399"/>
      <c r="K44" s="389"/>
      <c r="L44" s="182"/>
    </row>
    <row r="45" spans="1:12" ht="16.5">
      <c r="A45" s="375"/>
      <c r="B45" s="376"/>
      <c r="C45" s="376"/>
      <c r="D45" s="376"/>
      <c r="E45" s="307"/>
      <c r="F45" s="307"/>
      <c r="G45" s="307"/>
      <c r="H45" s="388"/>
      <c r="I45" s="388"/>
      <c r="J45" s="388"/>
      <c r="K45" s="389"/>
      <c r="L45" s="182"/>
    </row>
    <row r="46" spans="1:12" ht="16.5">
      <c r="A46" s="375"/>
      <c r="B46" s="589" t="s">
        <v>228</v>
      </c>
      <c r="C46" s="590"/>
      <c r="D46" s="590"/>
      <c r="E46" s="311"/>
      <c r="F46" s="311"/>
      <c r="G46" s="311"/>
      <c r="H46" s="399"/>
      <c r="I46" s="399"/>
      <c r="J46" s="399"/>
      <c r="K46" s="389"/>
      <c r="L46" s="182"/>
    </row>
    <row r="47" spans="1:12" ht="16.5">
      <c r="A47" s="375"/>
      <c r="B47" s="400"/>
      <c r="C47" s="401"/>
      <c r="D47" s="401"/>
      <c r="E47" s="311"/>
      <c r="F47" s="311"/>
      <c r="G47" s="311"/>
      <c r="H47" s="399"/>
      <c r="I47" s="399"/>
      <c r="J47" s="399"/>
      <c r="K47" s="389"/>
      <c r="L47" s="182"/>
    </row>
    <row r="48" spans="1:159" ht="16.5">
      <c r="A48" s="372"/>
      <c r="B48" s="373" t="s">
        <v>229</v>
      </c>
      <c r="C48" s="373"/>
      <c r="D48" s="373"/>
      <c r="E48" s="312"/>
      <c r="F48" s="312"/>
      <c r="G48" s="312"/>
      <c r="H48" s="402"/>
      <c r="I48" s="402"/>
      <c r="J48" s="402"/>
      <c r="K48" s="389"/>
      <c r="L48" s="182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</row>
    <row r="49" spans="1:159" ht="16.5">
      <c r="A49" s="372"/>
      <c r="B49" s="373"/>
      <c r="C49" s="373"/>
      <c r="D49" s="373"/>
      <c r="E49" s="312"/>
      <c r="F49" s="312"/>
      <c r="G49" s="312"/>
      <c r="H49" s="402"/>
      <c r="I49" s="402"/>
      <c r="J49" s="402"/>
      <c r="K49" s="389"/>
      <c r="L49" s="182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</row>
    <row r="50" spans="1:159" ht="16.5">
      <c r="A50" s="372"/>
      <c r="B50" s="373" t="s">
        <v>230</v>
      </c>
      <c r="C50" s="373"/>
      <c r="D50" s="373"/>
      <c r="E50" s="312"/>
      <c r="F50" s="312"/>
      <c r="G50" s="312"/>
      <c r="H50" s="402"/>
      <c r="I50" s="402"/>
      <c r="J50" s="402"/>
      <c r="K50" s="389"/>
      <c r="L50" s="182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</row>
    <row r="51" spans="1:159" ht="16.5">
      <c r="A51" s="375"/>
      <c r="B51" s="376" t="s">
        <v>195</v>
      </c>
      <c r="C51" s="377" t="s">
        <v>196</v>
      </c>
      <c r="D51" s="373" t="s">
        <v>231</v>
      </c>
      <c r="E51" s="187">
        <v>7369</v>
      </c>
      <c r="F51" s="187">
        <v>44980</v>
      </c>
      <c r="G51" s="187">
        <f>'[12]B2.1.1'!E65+30000</f>
        <v>74980</v>
      </c>
      <c r="H51" s="382">
        <f>'[13]B2.1.1'!G46</f>
        <v>54580</v>
      </c>
      <c r="I51" s="382">
        <f>H51-12200</f>
        <v>42380</v>
      </c>
      <c r="J51" s="382">
        <f>I51</f>
        <v>42380</v>
      </c>
      <c r="K51" s="386">
        <f>G51-F51</f>
        <v>30000</v>
      </c>
      <c r="L51" s="387"/>
      <c r="N51" s="186"/>
      <c r="O51" s="186"/>
      <c r="P51" s="185"/>
      <c r="Q51" s="186"/>
      <c r="R51" s="186"/>
      <c r="S51" s="186"/>
      <c r="T51" s="185"/>
      <c r="U51" s="186"/>
      <c r="V51" s="186"/>
      <c r="W51" s="186"/>
      <c r="X51" s="185"/>
      <c r="Y51" s="186"/>
      <c r="Z51" s="186"/>
      <c r="AA51" s="186"/>
      <c r="AB51" s="185"/>
      <c r="AC51" s="186"/>
      <c r="AD51" s="186"/>
      <c r="AE51" s="186"/>
      <c r="AF51" s="185"/>
      <c r="AG51" s="186"/>
      <c r="AH51" s="186"/>
      <c r="AI51" s="186"/>
      <c r="AJ51" s="185"/>
      <c r="AK51" s="186"/>
      <c r="AL51" s="186"/>
      <c r="AM51" s="186"/>
      <c r="AN51" s="185"/>
      <c r="AO51" s="186"/>
      <c r="AP51" s="186"/>
      <c r="AQ51" s="186"/>
      <c r="AR51" s="185"/>
      <c r="AS51" s="186"/>
      <c r="AT51" s="186"/>
      <c r="AU51" s="186"/>
      <c r="AV51" s="185"/>
      <c r="AW51" s="186"/>
      <c r="AX51" s="186"/>
      <c r="AY51" s="186"/>
      <c r="AZ51" s="185"/>
      <c r="BA51" s="186"/>
      <c r="BB51" s="186"/>
      <c r="BC51" s="186"/>
      <c r="BD51" s="185"/>
      <c r="BE51" s="186"/>
      <c r="BF51" s="186"/>
      <c r="BG51" s="186"/>
      <c r="BH51" s="185"/>
      <c r="BI51" s="186"/>
      <c r="BJ51" s="186"/>
      <c r="BK51" s="186"/>
      <c r="BL51" s="185"/>
      <c r="BM51" s="186"/>
      <c r="BN51" s="186"/>
      <c r="BO51" s="186"/>
      <c r="BP51" s="185"/>
      <c r="BQ51" s="186"/>
      <c r="BR51" s="186"/>
      <c r="BS51" s="186"/>
      <c r="BT51" s="185"/>
      <c r="BU51" s="186"/>
      <c r="BV51" s="186"/>
      <c r="BW51" s="186"/>
      <c r="BX51" s="185"/>
      <c r="BY51" s="186"/>
      <c r="BZ51" s="186"/>
      <c r="CA51" s="186"/>
      <c r="CB51" s="185"/>
      <c r="CC51" s="186"/>
      <c r="CD51" s="186"/>
      <c r="CE51" s="186"/>
      <c r="CF51" s="185"/>
      <c r="CG51" s="186"/>
      <c r="CH51" s="186"/>
      <c r="CI51" s="186"/>
      <c r="CJ51" s="185"/>
      <c r="CK51" s="186"/>
      <c r="CL51" s="186"/>
      <c r="CM51" s="186"/>
      <c r="CN51" s="185"/>
      <c r="CO51" s="186"/>
      <c r="CP51" s="186"/>
      <c r="CQ51" s="186"/>
      <c r="CR51" s="185"/>
      <c r="CS51" s="186"/>
      <c r="CT51" s="186"/>
      <c r="CU51" s="186"/>
      <c r="CV51" s="185"/>
      <c r="CW51" s="186"/>
      <c r="CX51" s="186"/>
      <c r="CY51" s="186"/>
      <c r="CZ51" s="185"/>
      <c r="DA51" s="186"/>
      <c r="DB51" s="186"/>
      <c r="DC51" s="186"/>
      <c r="DD51" s="185"/>
      <c r="DE51" s="186"/>
      <c r="DF51" s="186"/>
      <c r="DG51" s="186"/>
      <c r="DH51" s="185"/>
      <c r="DI51" s="186"/>
      <c r="DJ51" s="186"/>
      <c r="DK51" s="186"/>
      <c r="DL51" s="185"/>
      <c r="DM51" s="186"/>
      <c r="DN51" s="186"/>
      <c r="DO51" s="186"/>
      <c r="DP51" s="185"/>
      <c r="DQ51" s="186"/>
      <c r="DR51" s="186"/>
      <c r="DS51" s="186"/>
      <c r="DT51" s="185"/>
      <c r="DU51" s="186"/>
      <c r="DV51" s="186"/>
      <c r="DW51" s="186"/>
      <c r="DX51" s="185"/>
      <c r="DY51" s="186"/>
      <c r="DZ51" s="186"/>
      <c r="EA51" s="186"/>
      <c r="EB51" s="185"/>
      <c r="EC51" s="186"/>
      <c r="ED51" s="186"/>
      <c r="EE51" s="186"/>
      <c r="EF51" s="185"/>
      <c r="EG51" s="186"/>
      <c r="EH51" s="186"/>
      <c r="EI51" s="186"/>
      <c r="EJ51" s="185"/>
      <c r="EK51" s="186"/>
      <c r="EL51" s="186"/>
      <c r="EM51" s="186"/>
      <c r="EN51" s="185"/>
      <c r="EO51" s="186"/>
      <c r="EP51" s="186"/>
      <c r="EQ51" s="186"/>
      <c r="ER51" s="185"/>
      <c r="ES51" s="186"/>
      <c r="ET51" s="186"/>
      <c r="EU51" s="186"/>
      <c r="EV51" s="185"/>
      <c r="EW51" s="186"/>
      <c r="EX51" s="186"/>
      <c r="EY51" s="186"/>
      <c r="EZ51" s="185"/>
      <c r="FA51" s="186"/>
      <c r="FB51" s="186"/>
      <c r="FC51" s="186"/>
    </row>
    <row r="52" spans="1:159" ht="16.5">
      <c r="A52" s="375"/>
      <c r="B52" s="376" t="s">
        <v>195</v>
      </c>
      <c r="C52" s="373" t="s">
        <v>199</v>
      </c>
      <c r="D52" s="373" t="s">
        <v>232</v>
      </c>
      <c r="E52" s="187">
        <v>44857</v>
      </c>
      <c r="F52" s="187">
        <v>80000</v>
      </c>
      <c r="G52" s="187">
        <f>'[14]B2.1.2 (2)'!$E$38</f>
        <v>66000</v>
      </c>
      <c r="H52" s="382">
        <f>'[13]B2.1.2'!E38</f>
        <v>65000</v>
      </c>
      <c r="I52" s="382">
        <v>65000</v>
      </c>
      <c r="J52" s="382">
        <v>65000</v>
      </c>
      <c r="K52" s="379">
        <f>G52-F52</f>
        <v>-14000</v>
      </c>
      <c r="L52" s="380"/>
      <c r="N52" s="186"/>
      <c r="O52" s="186"/>
      <c r="P52" s="185"/>
      <c r="Q52" s="186"/>
      <c r="R52" s="186"/>
      <c r="S52" s="186"/>
      <c r="T52" s="185"/>
      <c r="U52" s="186"/>
      <c r="V52" s="186"/>
      <c r="W52" s="186"/>
      <c r="X52" s="185"/>
      <c r="Y52" s="186"/>
      <c r="Z52" s="186"/>
      <c r="AA52" s="186"/>
      <c r="AB52" s="185"/>
      <c r="AC52" s="186"/>
      <c r="AD52" s="186"/>
      <c r="AE52" s="186"/>
      <c r="AF52" s="185"/>
      <c r="AG52" s="186"/>
      <c r="AH52" s="186"/>
      <c r="AI52" s="186"/>
      <c r="AJ52" s="185"/>
      <c r="AK52" s="186"/>
      <c r="AL52" s="186"/>
      <c r="AM52" s="186"/>
      <c r="AN52" s="185"/>
      <c r="AO52" s="186"/>
      <c r="AP52" s="186"/>
      <c r="AQ52" s="186"/>
      <c r="AR52" s="185"/>
      <c r="AS52" s="186"/>
      <c r="AT52" s="186"/>
      <c r="AU52" s="186"/>
      <c r="AV52" s="185"/>
      <c r="AW52" s="186"/>
      <c r="AX52" s="186"/>
      <c r="AY52" s="186"/>
      <c r="AZ52" s="185"/>
      <c r="BA52" s="186"/>
      <c r="BB52" s="186"/>
      <c r="BC52" s="186"/>
      <c r="BD52" s="185"/>
      <c r="BE52" s="186"/>
      <c r="BF52" s="186"/>
      <c r="BG52" s="186"/>
      <c r="BH52" s="185"/>
      <c r="BI52" s="186"/>
      <c r="BJ52" s="186"/>
      <c r="BK52" s="186"/>
      <c r="BL52" s="185"/>
      <c r="BM52" s="186"/>
      <c r="BN52" s="186"/>
      <c r="BO52" s="186"/>
      <c r="BP52" s="185"/>
      <c r="BQ52" s="186"/>
      <c r="BR52" s="186"/>
      <c r="BS52" s="186"/>
      <c r="BT52" s="185"/>
      <c r="BU52" s="186"/>
      <c r="BV52" s="186"/>
      <c r="BW52" s="186"/>
      <c r="BX52" s="185"/>
      <c r="BY52" s="186"/>
      <c r="BZ52" s="186"/>
      <c r="CA52" s="186"/>
      <c r="CB52" s="185"/>
      <c r="CC52" s="186"/>
      <c r="CD52" s="186"/>
      <c r="CE52" s="186"/>
      <c r="CF52" s="185"/>
      <c r="CG52" s="186"/>
      <c r="CH52" s="186"/>
      <c r="CI52" s="186"/>
      <c r="CJ52" s="185"/>
      <c r="CK52" s="186"/>
      <c r="CL52" s="186"/>
      <c r="CM52" s="186"/>
      <c r="CN52" s="185"/>
      <c r="CO52" s="186"/>
      <c r="CP52" s="186"/>
      <c r="CQ52" s="186"/>
      <c r="CR52" s="185"/>
      <c r="CS52" s="186"/>
      <c r="CT52" s="186"/>
      <c r="CU52" s="186"/>
      <c r="CV52" s="185"/>
      <c r="CW52" s="186"/>
      <c r="CX52" s="186"/>
      <c r="CY52" s="186"/>
      <c r="CZ52" s="185"/>
      <c r="DA52" s="186"/>
      <c r="DB52" s="186"/>
      <c r="DC52" s="186"/>
      <c r="DD52" s="185"/>
      <c r="DE52" s="186"/>
      <c r="DF52" s="186"/>
      <c r="DG52" s="186"/>
      <c r="DH52" s="185"/>
      <c r="DI52" s="186"/>
      <c r="DJ52" s="186"/>
      <c r="DK52" s="186"/>
      <c r="DL52" s="185"/>
      <c r="DM52" s="186"/>
      <c r="DN52" s="186"/>
      <c r="DO52" s="186"/>
      <c r="DP52" s="185"/>
      <c r="DQ52" s="186"/>
      <c r="DR52" s="186"/>
      <c r="DS52" s="186"/>
      <c r="DT52" s="185"/>
      <c r="DU52" s="186"/>
      <c r="DV52" s="186"/>
      <c r="DW52" s="186"/>
      <c r="DX52" s="185"/>
      <c r="DY52" s="186"/>
      <c r="DZ52" s="186"/>
      <c r="EA52" s="186"/>
      <c r="EB52" s="185"/>
      <c r="EC52" s="186"/>
      <c r="ED52" s="186"/>
      <c r="EE52" s="186"/>
      <c r="EF52" s="185"/>
      <c r="EG52" s="186"/>
      <c r="EH52" s="186"/>
      <c r="EI52" s="186"/>
      <c r="EJ52" s="185"/>
      <c r="EK52" s="186"/>
      <c r="EL52" s="186"/>
      <c r="EM52" s="186"/>
      <c r="EN52" s="185"/>
      <c r="EO52" s="186"/>
      <c r="EP52" s="186"/>
      <c r="EQ52" s="186"/>
      <c r="ER52" s="185"/>
      <c r="ES52" s="186"/>
      <c r="ET52" s="186"/>
      <c r="EU52" s="186"/>
      <c r="EV52" s="185"/>
      <c r="EW52" s="186"/>
      <c r="EX52" s="186"/>
      <c r="EY52" s="186"/>
      <c r="EZ52" s="185"/>
      <c r="FA52" s="186"/>
      <c r="FB52" s="186"/>
      <c r="FC52" s="186"/>
    </row>
    <row r="53" spans="1:159" ht="16.5">
      <c r="A53" s="372"/>
      <c r="B53" s="373"/>
      <c r="C53" s="385" t="s">
        <v>233</v>
      </c>
      <c r="D53" s="385" t="s">
        <v>234</v>
      </c>
      <c r="E53" s="187">
        <v>47334</v>
      </c>
      <c r="F53" s="187">
        <v>35000</v>
      </c>
      <c r="G53" s="187">
        <f>'[12]B2.1.3'!C14</f>
        <v>51226</v>
      </c>
      <c r="H53" s="382">
        <f>'[13]B2.1.3'!C10+'[13]B2.1.3'!C12</f>
        <v>56951.96</v>
      </c>
      <c r="I53" s="382">
        <f>H53</f>
        <v>56951.96</v>
      </c>
      <c r="J53" s="382">
        <f>I53</f>
        <v>56951.96</v>
      </c>
      <c r="K53" s="386">
        <f>G53-F53</f>
        <v>16226</v>
      </c>
      <c r="L53" s="387"/>
      <c r="N53" s="186"/>
      <c r="O53" s="186"/>
      <c r="P53" s="185"/>
      <c r="Q53" s="186"/>
      <c r="R53" s="186"/>
      <c r="S53" s="186"/>
      <c r="T53" s="185"/>
      <c r="U53" s="186"/>
      <c r="V53" s="186"/>
      <c r="W53" s="186"/>
      <c r="X53" s="185"/>
      <c r="Y53" s="186"/>
      <c r="Z53" s="186"/>
      <c r="AA53" s="186"/>
      <c r="AB53" s="185"/>
      <c r="AC53" s="186"/>
      <c r="AD53" s="186"/>
      <c r="AE53" s="186"/>
      <c r="AF53" s="185"/>
      <c r="AG53" s="186"/>
      <c r="AH53" s="186"/>
      <c r="AI53" s="186"/>
      <c r="AJ53" s="185"/>
      <c r="AK53" s="186"/>
      <c r="AL53" s="186"/>
      <c r="AM53" s="186"/>
      <c r="AN53" s="185"/>
      <c r="AO53" s="186"/>
      <c r="AP53" s="186"/>
      <c r="AQ53" s="186"/>
      <c r="AR53" s="185"/>
      <c r="AS53" s="186"/>
      <c r="AT53" s="186"/>
      <c r="AU53" s="186"/>
      <c r="AV53" s="185"/>
      <c r="AW53" s="186"/>
      <c r="AX53" s="186"/>
      <c r="AY53" s="186"/>
      <c r="AZ53" s="185"/>
      <c r="BA53" s="186"/>
      <c r="BB53" s="186"/>
      <c r="BC53" s="186"/>
      <c r="BD53" s="185"/>
      <c r="BE53" s="186"/>
      <c r="BF53" s="186"/>
      <c r="BG53" s="186"/>
      <c r="BH53" s="185"/>
      <c r="BI53" s="186"/>
      <c r="BJ53" s="186"/>
      <c r="BK53" s="186"/>
      <c r="BL53" s="185"/>
      <c r="BM53" s="186"/>
      <c r="BN53" s="186"/>
      <c r="BO53" s="186"/>
      <c r="BP53" s="185"/>
      <c r="BQ53" s="186"/>
      <c r="BR53" s="186"/>
      <c r="BS53" s="186"/>
      <c r="BT53" s="185"/>
      <c r="BU53" s="186"/>
      <c r="BV53" s="186"/>
      <c r="BW53" s="186"/>
      <c r="BX53" s="185"/>
      <c r="BY53" s="186"/>
      <c r="BZ53" s="186"/>
      <c r="CA53" s="186"/>
      <c r="CB53" s="185"/>
      <c r="CC53" s="186"/>
      <c r="CD53" s="186"/>
      <c r="CE53" s="186"/>
      <c r="CF53" s="185"/>
      <c r="CG53" s="186"/>
      <c r="CH53" s="186"/>
      <c r="CI53" s="186"/>
      <c r="CJ53" s="185"/>
      <c r="CK53" s="186"/>
      <c r="CL53" s="186"/>
      <c r="CM53" s="186"/>
      <c r="CN53" s="185"/>
      <c r="CO53" s="186"/>
      <c r="CP53" s="186"/>
      <c r="CQ53" s="186"/>
      <c r="CR53" s="185"/>
      <c r="CS53" s="186"/>
      <c r="CT53" s="186"/>
      <c r="CU53" s="186"/>
      <c r="CV53" s="185"/>
      <c r="CW53" s="186"/>
      <c r="CX53" s="186"/>
      <c r="CY53" s="186"/>
      <c r="CZ53" s="185"/>
      <c r="DA53" s="186"/>
      <c r="DB53" s="186"/>
      <c r="DC53" s="186"/>
      <c r="DD53" s="185"/>
      <c r="DE53" s="186"/>
      <c r="DF53" s="186"/>
      <c r="DG53" s="186"/>
      <c r="DH53" s="185"/>
      <c r="DI53" s="186"/>
      <c r="DJ53" s="186"/>
      <c r="DK53" s="186"/>
      <c r="DL53" s="185"/>
      <c r="DM53" s="186"/>
      <c r="DN53" s="186"/>
      <c r="DO53" s="186"/>
      <c r="DP53" s="185"/>
      <c r="DQ53" s="186"/>
      <c r="DR53" s="186"/>
      <c r="DS53" s="186"/>
      <c r="DT53" s="185"/>
      <c r="DU53" s="186"/>
      <c r="DV53" s="186"/>
      <c r="DW53" s="186"/>
      <c r="DX53" s="185"/>
      <c r="DY53" s="186"/>
      <c r="DZ53" s="186"/>
      <c r="EA53" s="186"/>
      <c r="EB53" s="185"/>
      <c r="EC53" s="186"/>
      <c r="ED53" s="186"/>
      <c r="EE53" s="186"/>
      <c r="EF53" s="185"/>
      <c r="EG53" s="186"/>
      <c r="EH53" s="186"/>
      <c r="EI53" s="186"/>
      <c r="EJ53" s="185"/>
      <c r="EK53" s="186"/>
      <c r="EL53" s="186"/>
      <c r="EM53" s="186"/>
      <c r="EN53" s="185"/>
      <c r="EO53" s="186"/>
      <c r="EP53" s="186"/>
      <c r="EQ53" s="186"/>
      <c r="ER53" s="185"/>
      <c r="ES53" s="186"/>
      <c r="ET53" s="186"/>
      <c r="EU53" s="186"/>
      <c r="EV53" s="185"/>
      <c r="EW53" s="186"/>
      <c r="EX53" s="186"/>
      <c r="EY53" s="186"/>
      <c r="EZ53" s="185"/>
      <c r="FA53" s="186"/>
      <c r="FB53" s="186"/>
      <c r="FC53" s="186"/>
    </row>
    <row r="54" spans="1:159" ht="16.5">
      <c r="A54" s="372"/>
      <c r="B54" s="373"/>
      <c r="C54" s="385" t="s">
        <v>203</v>
      </c>
      <c r="D54" s="385" t="s">
        <v>410</v>
      </c>
      <c r="E54" s="187"/>
      <c r="F54" s="187"/>
      <c r="G54" s="187">
        <v>150800</v>
      </c>
      <c r="H54" s="383">
        <v>40000</v>
      </c>
      <c r="I54" s="383"/>
      <c r="J54" s="383"/>
      <c r="K54" s="386">
        <f>G54-F54</f>
        <v>150800</v>
      </c>
      <c r="L54" s="387"/>
      <c r="N54" s="186"/>
      <c r="O54" s="186"/>
      <c r="P54" s="185"/>
      <c r="Q54" s="186"/>
      <c r="R54" s="186"/>
      <c r="S54" s="186"/>
      <c r="T54" s="185"/>
      <c r="U54" s="186"/>
      <c r="V54" s="186"/>
      <c r="W54" s="186"/>
      <c r="X54" s="185"/>
      <c r="Y54" s="186"/>
      <c r="Z54" s="186"/>
      <c r="AA54" s="186"/>
      <c r="AB54" s="185"/>
      <c r="AC54" s="186"/>
      <c r="AD54" s="186"/>
      <c r="AE54" s="186"/>
      <c r="AF54" s="185"/>
      <c r="AG54" s="186"/>
      <c r="AH54" s="186"/>
      <c r="AI54" s="186"/>
      <c r="AJ54" s="185"/>
      <c r="AK54" s="186"/>
      <c r="AL54" s="186"/>
      <c r="AM54" s="186"/>
      <c r="AN54" s="185"/>
      <c r="AO54" s="186"/>
      <c r="AP54" s="186"/>
      <c r="AQ54" s="186"/>
      <c r="AR54" s="185"/>
      <c r="AS54" s="186"/>
      <c r="AT54" s="186"/>
      <c r="AU54" s="186"/>
      <c r="AV54" s="185"/>
      <c r="AW54" s="186"/>
      <c r="AX54" s="186"/>
      <c r="AY54" s="186"/>
      <c r="AZ54" s="185"/>
      <c r="BA54" s="186"/>
      <c r="BB54" s="186"/>
      <c r="BC54" s="186"/>
      <c r="BD54" s="185"/>
      <c r="BE54" s="186"/>
      <c r="BF54" s="186"/>
      <c r="BG54" s="186"/>
      <c r="BH54" s="185"/>
      <c r="BI54" s="186"/>
      <c r="BJ54" s="186"/>
      <c r="BK54" s="186"/>
      <c r="BL54" s="185"/>
      <c r="BM54" s="186"/>
      <c r="BN54" s="186"/>
      <c r="BO54" s="186"/>
      <c r="BP54" s="185"/>
      <c r="BQ54" s="186"/>
      <c r="BR54" s="186"/>
      <c r="BS54" s="186"/>
      <c r="BT54" s="185"/>
      <c r="BU54" s="186"/>
      <c r="BV54" s="186"/>
      <c r="BW54" s="186"/>
      <c r="BX54" s="185"/>
      <c r="BY54" s="186"/>
      <c r="BZ54" s="186"/>
      <c r="CA54" s="186"/>
      <c r="CB54" s="185"/>
      <c r="CC54" s="186"/>
      <c r="CD54" s="186"/>
      <c r="CE54" s="186"/>
      <c r="CF54" s="185"/>
      <c r="CG54" s="186"/>
      <c r="CH54" s="186"/>
      <c r="CI54" s="186"/>
      <c r="CJ54" s="185"/>
      <c r="CK54" s="186"/>
      <c r="CL54" s="186"/>
      <c r="CM54" s="186"/>
      <c r="CN54" s="185"/>
      <c r="CO54" s="186"/>
      <c r="CP54" s="186"/>
      <c r="CQ54" s="186"/>
      <c r="CR54" s="185"/>
      <c r="CS54" s="186"/>
      <c r="CT54" s="186"/>
      <c r="CU54" s="186"/>
      <c r="CV54" s="185"/>
      <c r="CW54" s="186"/>
      <c r="CX54" s="186"/>
      <c r="CY54" s="186"/>
      <c r="CZ54" s="185"/>
      <c r="DA54" s="186"/>
      <c r="DB54" s="186"/>
      <c r="DC54" s="186"/>
      <c r="DD54" s="185"/>
      <c r="DE54" s="186"/>
      <c r="DF54" s="186"/>
      <c r="DG54" s="186"/>
      <c r="DH54" s="185"/>
      <c r="DI54" s="186"/>
      <c r="DJ54" s="186"/>
      <c r="DK54" s="186"/>
      <c r="DL54" s="185"/>
      <c r="DM54" s="186"/>
      <c r="DN54" s="186"/>
      <c r="DO54" s="186"/>
      <c r="DP54" s="185"/>
      <c r="DQ54" s="186"/>
      <c r="DR54" s="186"/>
      <c r="DS54" s="186"/>
      <c r="DT54" s="185"/>
      <c r="DU54" s="186"/>
      <c r="DV54" s="186"/>
      <c r="DW54" s="186"/>
      <c r="DX54" s="185"/>
      <c r="DY54" s="186"/>
      <c r="DZ54" s="186"/>
      <c r="EA54" s="186"/>
      <c r="EB54" s="185"/>
      <c r="EC54" s="186"/>
      <c r="ED54" s="186"/>
      <c r="EE54" s="186"/>
      <c r="EF54" s="185"/>
      <c r="EG54" s="186"/>
      <c r="EH54" s="186"/>
      <c r="EI54" s="186"/>
      <c r="EJ54" s="185"/>
      <c r="EK54" s="186"/>
      <c r="EL54" s="186"/>
      <c r="EM54" s="186"/>
      <c r="EN54" s="185"/>
      <c r="EO54" s="186"/>
      <c r="EP54" s="186"/>
      <c r="EQ54" s="186"/>
      <c r="ER54" s="185"/>
      <c r="ES54" s="186"/>
      <c r="ET54" s="186"/>
      <c r="EU54" s="186"/>
      <c r="EV54" s="185"/>
      <c r="EW54" s="186"/>
      <c r="EX54" s="186"/>
      <c r="EY54" s="186"/>
      <c r="EZ54" s="185"/>
      <c r="FA54" s="186"/>
      <c r="FB54" s="186"/>
      <c r="FC54" s="186"/>
    </row>
    <row r="55" spans="1:159" ht="16.5">
      <c r="A55" s="372"/>
      <c r="B55" s="373"/>
      <c r="C55" s="385" t="s">
        <v>205</v>
      </c>
      <c r="D55" s="385" t="s">
        <v>235</v>
      </c>
      <c r="E55" s="187">
        <v>479000</v>
      </c>
      <c r="F55" s="187"/>
      <c r="G55" s="187"/>
      <c r="H55" s="382"/>
      <c r="I55" s="382"/>
      <c r="J55" s="382"/>
      <c r="K55" s="379"/>
      <c r="L55" s="380"/>
      <c r="N55" s="186"/>
      <c r="O55" s="186"/>
      <c r="P55" s="185"/>
      <c r="Q55" s="186"/>
      <c r="R55" s="186"/>
      <c r="S55" s="186"/>
      <c r="T55" s="185"/>
      <c r="U55" s="186"/>
      <c r="V55" s="186"/>
      <c r="W55" s="186"/>
      <c r="X55" s="185"/>
      <c r="Y55" s="186"/>
      <c r="Z55" s="186"/>
      <c r="AA55" s="186"/>
      <c r="AB55" s="185"/>
      <c r="AC55" s="186"/>
      <c r="AD55" s="186"/>
      <c r="AE55" s="186"/>
      <c r="AF55" s="185"/>
      <c r="AG55" s="186"/>
      <c r="AH55" s="186"/>
      <c r="AI55" s="186"/>
      <c r="AJ55" s="185"/>
      <c r="AK55" s="186"/>
      <c r="AL55" s="186"/>
      <c r="AM55" s="186"/>
      <c r="AN55" s="185"/>
      <c r="AO55" s="186"/>
      <c r="AP55" s="186"/>
      <c r="AQ55" s="186"/>
      <c r="AR55" s="185"/>
      <c r="AS55" s="186"/>
      <c r="AT55" s="186"/>
      <c r="AU55" s="186"/>
      <c r="AV55" s="185"/>
      <c r="AW55" s="186"/>
      <c r="AX55" s="186"/>
      <c r="AY55" s="186"/>
      <c r="AZ55" s="185"/>
      <c r="BA55" s="186"/>
      <c r="BB55" s="186"/>
      <c r="BC55" s="186"/>
      <c r="BD55" s="185"/>
      <c r="BE55" s="186"/>
      <c r="BF55" s="186"/>
      <c r="BG55" s="186"/>
      <c r="BH55" s="185"/>
      <c r="BI55" s="186"/>
      <c r="BJ55" s="186"/>
      <c r="BK55" s="186"/>
      <c r="BL55" s="185"/>
      <c r="BM55" s="186"/>
      <c r="BN55" s="186"/>
      <c r="BO55" s="186"/>
      <c r="BP55" s="185"/>
      <c r="BQ55" s="186"/>
      <c r="BR55" s="186"/>
      <c r="BS55" s="186"/>
      <c r="BT55" s="185"/>
      <c r="BU55" s="186"/>
      <c r="BV55" s="186"/>
      <c r="BW55" s="186"/>
      <c r="BX55" s="185"/>
      <c r="BY55" s="186"/>
      <c r="BZ55" s="186"/>
      <c r="CA55" s="186"/>
      <c r="CB55" s="185"/>
      <c r="CC55" s="186"/>
      <c r="CD55" s="186"/>
      <c r="CE55" s="186"/>
      <c r="CF55" s="185"/>
      <c r="CG55" s="186"/>
      <c r="CH55" s="186"/>
      <c r="CI55" s="186"/>
      <c r="CJ55" s="185"/>
      <c r="CK55" s="186"/>
      <c r="CL55" s="186"/>
      <c r="CM55" s="186"/>
      <c r="CN55" s="185"/>
      <c r="CO55" s="186"/>
      <c r="CP55" s="186"/>
      <c r="CQ55" s="186"/>
      <c r="CR55" s="185"/>
      <c r="CS55" s="186"/>
      <c r="CT55" s="186"/>
      <c r="CU55" s="186"/>
      <c r="CV55" s="185"/>
      <c r="CW55" s="186"/>
      <c r="CX55" s="186"/>
      <c r="CY55" s="186"/>
      <c r="CZ55" s="185"/>
      <c r="DA55" s="186"/>
      <c r="DB55" s="186"/>
      <c r="DC55" s="186"/>
      <c r="DD55" s="185"/>
      <c r="DE55" s="186"/>
      <c r="DF55" s="186"/>
      <c r="DG55" s="186"/>
      <c r="DH55" s="185"/>
      <c r="DI55" s="186"/>
      <c r="DJ55" s="186"/>
      <c r="DK55" s="186"/>
      <c r="DL55" s="185"/>
      <c r="DM55" s="186"/>
      <c r="DN55" s="186"/>
      <c r="DO55" s="186"/>
      <c r="DP55" s="185"/>
      <c r="DQ55" s="186"/>
      <c r="DR55" s="186"/>
      <c r="DS55" s="186"/>
      <c r="DT55" s="185"/>
      <c r="DU55" s="186"/>
      <c r="DV55" s="186"/>
      <c r="DW55" s="186"/>
      <c r="DX55" s="185"/>
      <c r="DY55" s="186"/>
      <c r="DZ55" s="186"/>
      <c r="EA55" s="186"/>
      <c r="EB55" s="185"/>
      <c r="EC55" s="186"/>
      <c r="ED55" s="186"/>
      <c r="EE55" s="186"/>
      <c r="EF55" s="185"/>
      <c r="EG55" s="186"/>
      <c r="EH55" s="186"/>
      <c r="EI55" s="186"/>
      <c r="EJ55" s="185"/>
      <c r="EK55" s="186"/>
      <c r="EL55" s="186"/>
      <c r="EM55" s="186"/>
      <c r="EN55" s="185"/>
      <c r="EO55" s="186"/>
      <c r="EP55" s="186"/>
      <c r="EQ55" s="186"/>
      <c r="ER55" s="185"/>
      <c r="ES55" s="186"/>
      <c r="ET55" s="186"/>
      <c r="EU55" s="186"/>
      <c r="EV55" s="185"/>
      <c r="EW55" s="186"/>
      <c r="EX55" s="186"/>
      <c r="EY55" s="186"/>
      <c r="EZ55" s="185"/>
      <c r="FA55" s="186"/>
      <c r="FB55" s="186"/>
      <c r="FC55" s="186"/>
    </row>
    <row r="56" spans="1:159" ht="16.5">
      <c r="A56" s="375"/>
      <c r="B56" s="376"/>
      <c r="C56" s="385" t="s">
        <v>207</v>
      </c>
      <c r="D56" s="385" t="s">
        <v>236</v>
      </c>
      <c r="E56" s="187"/>
      <c r="F56" s="187"/>
      <c r="G56" s="187"/>
      <c r="H56" s="382">
        <v>350000</v>
      </c>
      <c r="I56" s="382">
        <f>H56</f>
        <v>350000</v>
      </c>
      <c r="J56" s="382">
        <f>I56</f>
        <v>350000</v>
      </c>
      <c r="K56" s="379"/>
      <c r="L56" s="380"/>
      <c r="N56" s="186"/>
      <c r="O56" s="186"/>
      <c r="P56" s="185"/>
      <c r="Q56" s="186"/>
      <c r="R56" s="186"/>
      <c r="S56" s="186"/>
      <c r="T56" s="185"/>
      <c r="U56" s="186"/>
      <c r="V56" s="186"/>
      <c r="W56" s="186"/>
      <c r="X56" s="185"/>
      <c r="Y56" s="186"/>
      <c r="Z56" s="186"/>
      <c r="AA56" s="186"/>
      <c r="AB56" s="185"/>
      <c r="AC56" s="186"/>
      <c r="AD56" s="186"/>
      <c r="AE56" s="186"/>
      <c r="AF56" s="185"/>
      <c r="AG56" s="186"/>
      <c r="AH56" s="186"/>
      <c r="AI56" s="186"/>
      <c r="AJ56" s="185"/>
      <c r="AK56" s="186"/>
      <c r="AL56" s="186"/>
      <c r="AM56" s="186"/>
      <c r="AN56" s="185"/>
      <c r="AO56" s="186"/>
      <c r="AP56" s="186"/>
      <c r="AQ56" s="186"/>
      <c r="AR56" s="185"/>
      <c r="AS56" s="186"/>
      <c r="AT56" s="186"/>
      <c r="AU56" s="186"/>
      <c r="AV56" s="185"/>
      <c r="AW56" s="186"/>
      <c r="AX56" s="186"/>
      <c r="AY56" s="186"/>
      <c r="AZ56" s="185"/>
      <c r="BA56" s="186"/>
      <c r="BB56" s="186"/>
      <c r="BC56" s="186"/>
      <c r="BD56" s="185"/>
      <c r="BE56" s="186"/>
      <c r="BF56" s="186"/>
      <c r="BG56" s="186"/>
      <c r="BH56" s="185"/>
      <c r="BI56" s="186"/>
      <c r="BJ56" s="186"/>
      <c r="BK56" s="186"/>
      <c r="BL56" s="185"/>
      <c r="BM56" s="186"/>
      <c r="BN56" s="186"/>
      <c r="BO56" s="186"/>
      <c r="BP56" s="185"/>
      <c r="BQ56" s="186"/>
      <c r="BR56" s="186"/>
      <c r="BS56" s="186"/>
      <c r="BT56" s="185"/>
      <c r="BU56" s="186"/>
      <c r="BV56" s="186"/>
      <c r="BW56" s="186"/>
      <c r="BX56" s="185"/>
      <c r="BY56" s="186"/>
      <c r="BZ56" s="186"/>
      <c r="CA56" s="186"/>
      <c r="CB56" s="185"/>
      <c r="CC56" s="186"/>
      <c r="CD56" s="186"/>
      <c r="CE56" s="186"/>
      <c r="CF56" s="185"/>
      <c r="CG56" s="186"/>
      <c r="CH56" s="186"/>
      <c r="CI56" s="186"/>
      <c r="CJ56" s="185"/>
      <c r="CK56" s="186"/>
      <c r="CL56" s="186"/>
      <c r="CM56" s="186"/>
      <c r="CN56" s="185"/>
      <c r="CO56" s="186"/>
      <c r="CP56" s="186"/>
      <c r="CQ56" s="186"/>
      <c r="CR56" s="185"/>
      <c r="CS56" s="186"/>
      <c r="CT56" s="186"/>
      <c r="CU56" s="186"/>
      <c r="CV56" s="185"/>
      <c r="CW56" s="186"/>
      <c r="CX56" s="186"/>
      <c r="CY56" s="186"/>
      <c r="CZ56" s="185"/>
      <c r="DA56" s="186"/>
      <c r="DB56" s="186"/>
      <c r="DC56" s="186"/>
      <c r="DD56" s="185"/>
      <c r="DE56" s="186"/>
      <c r="DF56" s="186"/>
      <c r="DG56" s="186"/>
      <c r="DH56" s="185"/>
      <c r="DI56" s="186"/>
      <c r="DJ56" s="186"/>
      <c r="DK56" s="186"/>
      <c r="DL56" s="185"/>
      <c r="DM56" s="186"/>
      <c r="DN56" s="186"/>
      <c r="DO56" s="186"/>
      <c r="DP56" s="185"/>
      <c r="DQ56" s="186"/>
      <c r="DR56" s="186"/>
      <c r="DS56" s="186"/>
      <c r="DT56" s="185"/>
      <c r="DU56" s="186"/>
      <c r="DV56" s="186"/>
      <c r="DW56" s="186"/>
      <c r="DX56" s="185"/>
      <c r="DY56" s="186"/>
      <c r="DZ56" s="186"/>
      <c r="EA56" s="186"/>
      <c r="EB56" s="185"/>
      <c r="EC56" s="186"/>
      <c r="ED56" s="186"/>
      <c r="EE56" s="186"/>
      <c r="EF56" s="185"/>
      <c r="EG56" s="186"/>
      <c r="EH56" s="186"/>
      <c r="EI56" s="186"/>
      <c r="EJ56" s="185"/>
      <c r="EK56" s="186"/>
      <c r="EL56" s="186"/>
      <c r="EM56" s="186"/>
      <c r="EN56" s="185"/>
      <c r="EO56" s="186"/>
      <c r="EP56" s="186"/>
      <c r="EQ56" s="186"/>
      <c r="ER56" s="185"/>
      <c r="ES56" s="186"/>
      <c r="ET56" s="186"/>
      <c r="EU56" s="186"/>
      <c r="EV56" s="185"/>
      <c r="EW56" s="186"/>
      <c r="EX56" s="186"/>
      <c r="EY56" s="186"/>
      <c r="EZ56" s="185"/>
      <c r="FA56" s="186"/>
      <c r="FB56" s="186"/>
      <c r="FC56" s="186"/>
    </row>
    <row r="57" spans="1:12" ht="16.5">
      <c r="A57" s="375"/>
      <c r="B57" s="589"/>
      <c r="C57" s="590"/>
      <c r="D57" s="590"/>
      <c r="E57" s="187"/>
      <c r="F57" s="187"/>
      <c r="G57" s="187"/>
      <c r="H57" s="382"/>
      <c r="I57" s="382"/>
      <c r="J57" s="382"/>
      <c r="K57" s="379"/>
      <c r="L57" s="380"/>
    </row>
    <row r="58" spans="1:13" ht="16.5">
      <c r="A58" s="375"/>
      <c r="B58" s="376"/>
      <c r="C58" s="385"/>
      <c r="D58" s="403"/>
      <c r="E58" s="187"/>
      <c r="F58" s="187"/>
      <c r="G58" s="187"/>
      <c r="H58" s="382"/>
      <c r="I58" s="382"/>
      <c r="J58" s="382"/>
      <c r="K58" s="379"/>
      <c r="L58" s="380" t="s">
        <v>411</v>
      </c>
      <c r="M58" s="404">
        <f>H18*0.74</f>
        <v>1893206.573184383</v>
      </c>
    </row>
    <row r="59" spans="1:13" ht="16.5">
      <c r="A59" s="372"/>
      <c r="B59" s="373" t="s">
        <v>237</v>
      </c>
      <c r="C59" s="373"/>
      <c r="D59" s="373"/>
      <c r="E59" s="187">
        <v>0</v>
      </c>
      <c r="F59" s="187">
        <v>0</v>
      </c>
      <c r="G59" s="187">
        <f>G17</f>
        <v>210500</v>
      </c>
      <c r="H59" s="382">
        <f>'[13]B2.2'!D9</f>
        <v>210500</v>
      </c>
      <c r="I59" s="382"/>
      <c r="J59" s="382"/>
      <c r="K59" s="386">
        <f>G59-F59</f>
        <v>210500</v>
      </c>
      <c r="L59" s="387" t="s">
        <v>412</v>
      </c>
      <c r="M59" s="233">
        <f>H61</f>
        <v>1677541</v>
      </c>
    </row>
    <row r="60" spans="1:13" ht="16.5">
      <c r="A60" s="372"/>
      <c r="B60" s="373"/>
      <c r="C60" s="373"/>
      <c r="D60" s="373"/>
      <c r="E60" s="187"/>
      <c r="F60" s="187"/>
      <c r="G60" s="187"/>
      <c r="H60" s="382"/>
      <c r="I60" s="382"/>
      <c r="J60" s="382"/>
      <c r="K60" s="379"/>
      <c r="L60" s="380" t="s">
        <v>413</v>
      </c>
      <c r="M60" s="233">
        <f>M59-M58</f>
        <v>-215665.5731843831</v>
      </c>
    </row>
    <row r="61" spans="1:12" ht="16.5">
      <c r="A61" s="372"/>
      <c r="B61" s="373" t="s">
        <v>238</v>
      </c>
      <c r="C61" s="373"/>
      <c r="D61" s="373"/>
      <c r="E61" s="187">
        <v>1834574</v>
      </c>
      <c r="F61" s="187">
        <v>1891215.32</v>
      </c>
      <c r="G61" s="187">
        <f>G18*0.68-25000</f>
        <v>1866215.32</v>
      </c>
      <c r="H61" s="382">
        <f>'[13]B2.3'!D9</f>
        <v>1677541</v>
      </c>
      <c r="I61" s="382">
        <v>1430000</v>
      </c>
      <c r="J61" s="382">
        <v>1430000</v>
      </c>
      <c r="K61" s="386">
        <f>F61-G61</f>
        <v>25000</v>
      </c>
      <c r="L61" s="387" t="s">
        <v>414</v>
      </c>
    </row>
    <row r="62" spans="1:12" ht="16.5">
      <c r="A62" s="372"/>
      <c r="B62" s="373"/>
      <c r="C62" s="373"/>
      <c r="D62" s="373"/>
      <c r="E62" s="390"/>
      <c r="F62" s="187"/>
      <c r="G62" s="313"/>
      <c r="H62" s="405"/>
      <c r="I62" s="405"/>
      <c r="J62" s="405"/>
      <c r="K62" s="379"/>
      <c r="L62" s="380"/>
    </row>
    <row r="63" spans="1:12" ht="16.5" hidden="1">
      <c r="A63" s="372"/>
      <c r="B63" s="373" t="s">
        <v>239</v>
      </c>
      <c r="C63" s="385"/>
      <c r="D63" s="373" t="s">
        <v>240</v>
      </c>
      <c r="E63" s="187">
        <v>0</v>
      </c>
      <c r="F63" s="187">
        <v>0</v>
      </c>
      <c r="G63" s="187">
        <v>0</v>
      </c>
      <c r="H63" s="382"/>
      <c r="I63" s="382"/>
      <c r="J63" s="382"/>
      <c r="K63" s="379"/>
      <c r="L63" s="380"/>
    </row>
    <row r="64" spans="1:12" ht="16.5">
      <c r="A64" s="406"/>
      <c r="B64" s="377"/>
      <c r="C64" s="377"/>
      <c r="D64" s="376"/>
      <c r="E64" s="308"/>
      <c r="F64" s="308"/>
      <c r="G64" s="308"/>
      <c r="H64" s="391"/>
      <c r="I64" s="391"/>
      <c r="J64" s="391"/>
      <c r="K64" s="379"/>
      <c r="L64" s="380"/>
    </row>
    <row r="65" spans="1:13" ht="16.5">
      <c r="A65" s="406"/>
      <c r="B65" s="373" t="s">
        <v>241</v>
      </c>
      <c r="C65" s="373"/>
      <c r="D65" s="373"/>
      <c r="E65" s="315">
        <f>SUM(E51:E63)</f>
        <v>2413134</v>
      </c>
      <c r="F65" s="315">
        <v>2051195.32</v>
      </c>
      <c r="G65" s="407">
        <f>G51+G52+G53+G55+G61+G54+G59</f>
        <v>2419721.3200000003</v>
      </c>
      <c r="H65" s="407">
        <f>H51+H52+H53+H55+H61+H54+H59+H56</f>
        <v>2454572.96</v>
      </c>
      <c r="I65" s="407">
        <f>I51+I52+I53+I55+I61+I54+I59+I56</f>
        <v>1944331.96</v>
      </c>
      <c r="J65" s="407">
        <f>J51+J52+J53+J55+J61+J54+J59+J56</f>
        <v>1944331.96</v>
      </c>
      <c r="K65" s="386">
        <f>G65-F65</f>
        <v>368526.00000000023</v>
      </c>
      <c r="L65" s="387"/>
      <c r="M65" s="189"/>
    </row>
    <row r="66" spans="1:13" ht="16.5">
      <c r="A66" s="406"/>
      <c r="B66" s="377"/>
      <c r="C66" s="377"/>
      <c r="D66" s="376"/>
      <c r="E66" s="308"/>
      <c r="F66" s="308"/>
      <c r="G66" s="408"/>
      <c r="H66" s="409"/>
      <c r="I66" s="409"/>
      <c r="J66" s="409"/>
      <c r="K66" s="392"/>
      <c r="L66" s="393"/>
      <c r="M66" s="233"/>
    </row>
    <row r="67" spans="1:13" ht="16.5">
      <c r="A67" s="406"/>
      <c r="B67" s="373" t="s">
        <v>242</v>
      </c>
      <c r="C67" s="373"/>
      <c r="D67" s="373"/>
      <c r="E67" s="315">
        <f>E65+E42</f>
        <v>5049577</v>
      </c>
      <c r="F67" s="315">
        <v>4168963.3200000003</v>
      </c>
      <c r="G67" s="407">
        <f>G65+G42</f>
        <v>4598811.3904</v>
      </c>
      <c r="H67" s="407">
        <f>H65+H42</f>
        <v>4594707.589876318</v>
      </c>
      <c r="I67" s="407">
        <f>I65+I42</f>
        <v>4081915.480867042</v>
      </c>
      <c r="J67" s="407">
        <f>J65+J42</f>
        <v>4125621.4702483686</v>
      </c>
      <c r="K67" s="379">
        <f>G67-F67</f>
        <v>429848.0703999996</v>
      </c>
      <c r="L67" s="380"/>
      <c r="M67" s="404"/>
    </row>
    <row r="68" spans="1:13" ht="16.5">
      <c r="A68" s="406"/>
      <c r="B68" s="377"/>
      <c r="C68" s="377"/>
      <c r="D68" s="376"/>
      <c r="E68" s="308"/>
      <c r="F68" s="308"/>
      <c r="G68" s="308"/>
      <c r="H68" s="391"/>
      <c r="I68" s="391"/>
      <c r="J68" s="391"/>
      <c r="K68" s="392"/>
      <c r="L68" s="393"/>
      <c r="M68" s="404"/>
    </row>
    <row r="69" spans="1:12" ht="16.5">
      <c r="A69" s="406"/>
      <c r="B69" s="589" t="s">
        <v>243</v>
      </c>
      <c r="C69" s="590"/>
      <c r="D69" s="590"/>
      <c r="E69" s="410">
        <f>E23-E67</f>
        <v>-540014</v>
      </c>
      <c r="F69" s="410">
        <v>24677.679999999702</v>
      </c>
      <c r="G69" s="410">
        <f>G23-G67</f>
        <v>32785.631266666576</v>
      </c>
      <c r="H69" s="410">
        <f>H23-H67</f>
        <v>16437.671183658764</v>
      </c>
      <c r="I69" s="410">
        <f>I23-I67</f>
        <v>8526.519132957794</v>
      </c>
      <c r="J69" s="410">
        <f>J23-J67</f>
        <v>-35179.47024836857</v>
      </c>
      <c r="K69" s="386">
        <f>G69-F69</f>
        <v>8107.951266666874</v>
      </c>
      <c r="L69" s="387"/>
    </row>
    <row r="70" spans="1:12" ht="16.5">
      <c r="A70" s="406"/>
      <c r="B70" s="377"/>
      <c r="C70" s="377"/>
      <c r="D70" s="376"/>
      <c r="E70" s="312"/>
      <c r="F70" s="312"/>
      <c r="G70" s="312"/>
      <c r="H70" s="402"/>
      <c r="I70" s="402"/>
      <c r="J70" s="402"/>
      <c r="K70" s="392"/>
      <c r="L70" s="393"/>
    </row>
    <row r="71" spans="1:12" ht="16.5">
      <c r="A71" s="411" t="s">
        <v>244</v>
      </c>
      <c r="B71" s="377" t="s">
        <v>245</v>
      </c>
      <c r="C71" s="377"/>
      <c r="D71" s="376"/>
      <c r="E71" s="308"/>
      <c r="F71" s="308"/>
      <c r="G71" s="308"/>
      <c r="H71" s="391"/>
      <c r="I71" s="391"/>
      <c r="J71" s="391"/>
      <c r="K71" s="392"/>
      <c r="L71" s="393"/>
    </row>
    <row r="72" spans="1:12" ht="16.5">
      <c r="A72" s="406"/>
      <c r="B72" s="412"/>
      <c r="C72" s="412"/>
      <c r="D72" s="376"/>
      <c r="E72" s="308"/>
      <c r="F72" s="308"/>
      <c r="G72" s="308"/>
      <c r="H72" s="391"/>
      <c r="I72" s="391"/>
      <c r="J72" s="391"/>
      <c r="K72" s="392"/>
      <c r="L72" s="393"/>
    </row>
    <row r="73" spans="1:12" ht="16.5">
      <c r="A73" s="406"/>
      <c r="B73" s="376"/>
      <c r="C73" s="412" t="s">
        <v>246</v>
      </c>
      <c r="D73" s="376"/>
      <c r="E73" s="187">
        <v>240</v>
      </c>
      <c r="F73" s="187">
        <v>100</v>
      </c>
      <c r="G73" s="187">
        <v>100</v>
      </c>
      <c r="H73" s="382">
        <v>100</v>
      </c>
      <c r="I73" s="382">
        <v>100</v>
      </c>
      <c r="J73" s="382">
        <v>100</v>
      </c>
      <c r="K73" s="392"/>
      <c r="L73" s="393"/>
    </row>
    <row r="74" spans="1:12" ht="16.5">
      <c r="A74" s="406"/>
      <c r="B74" s="376"/>
      <c r="C74" s="412" t="s">
        <v>247</v>
      </c>
      <c r="D74" s="376"/>
      <c r="E74" s="187">
        <v>12</v>
      </c>
      <c r="F74" s="187">
        <v>7350</v>
      </c>
      <c r="G74" s="187">
        <f>245000*0.03</f>
        <v>7350</v>
      </c>
      <c r="H74" s="382">
        <v>7350</v>
      </c>
      <c r="I74" s="382">
        <v>7350</v>
      </c>
      <c r="J74" s="382">
        <v>7350</v>
      </c>
      <c r="K74" s="392"/>
      <c r="L74" s="393"/>
    </row>
    <row r="75" spans="1:12" ht="16.5">
      <c r="A75" s="406"/>
      <c r="B75" s="412"/>
      <c r="C75" s="412"/>
      <c r="D75" s="376"/>
      <c r="E75" s="308"/>
      <c r="F75" s="308"/>
      <c r="G75" s="308"/>
      <c r="H75" s="391"/>
      <c r="I75" s="391"/>
      <c r="J75" s="391"/>
      <c r="K75" s="392"/>
      <c r="L75" s="393"/>
    </row>
    <row r="76" spans="1:12" ht="16.5">
      <c r="A76" s="406"/>
      <c r="B76" s="589" t="s">
        <v>248</v>
      </c>
      <c r="C76" s="590"/>
      <c r="D76" s="590"/>
      <c r="E76" s="410">
        <f>E73-E74</f>
        <v>228</v>
      </c>
      <c r="F76" s="410">
        <v>-7250</v>
      </c>
      <c r="G76" s="410">
        <f>G73-G74</f>
        <v>-7250</v>
      </c>
      <c r="H76" s="410">
        <f>H73-H74</f>
        <v>-7250</v>
      </c>
      <c r="I76" s="410">
        <f>I73-I74</f>
        <v>-7250</v>
      </c>
      <c r="J76" s="410">
        <f>J73-J74</f>
        <v>-7250</v>
      </c>
      <c r="K76" s="392"/>
      <c r="L76" s="393"/>
    </row>
    <row r="77" spans="1:12" ht="16.5">
      <c r="A77" s="406"/>
      <c r="B77" s="412"/>
      <c r="C77" s="412"/>
      <c r="D77" s="376"/>
      <c r="E77" s="308"/>
      <c r="F77" s="308"/>
      <c r="G77" s="308"/>
      <c r="H77" s="391"/>
      <c r="I77" s="391"/>
      <c r="J77" s="391"/>
      <c r="K77" s="392"/>
      <c r="L77" s="393"/>
    </row>
    <row r="78" spans="1:12" ht="16.5">
      <c r="A78" s="411" t="s">
        <v>249</v>
      </c>
      <c r="B78" s="377" t="s">
        <v>250</v>
      </c>
      <c r="C78" s="377"/>
      <c r="D78" s="376"/>
      <c r="E78" s="308"/>
      <c r="F78" s="308"/>
      <c r="G78" s="308"/>
      <c r="H78" s="391"/>
      <c r="I78" s="391"/>
      <c r="J78" s="391"/>
      <c r="K78" s="392"/>
      <c r="L78" s="393"/>
    </row>
    <row r="79" spans="1:12" ht="16.5">
      <c r="A79" s="406"/>
      <c r="B79" s="412"/>
      <c r="C79" s="412"/>
      <c r="D79" s="376"/>
      <c r="E79" s="308"/>
      <c r="F79" s="308"/>
      <c r="G79" s="308"/>
      <c r="H79" s="391"/>
      <c r="I79" s="391"/>
      <c r="J79" s="391"/>
      <c r="K79" s="392"/>
      <c r="L79" s="393"/>
    </row>
    <row r="80" spans="1:12" ht="16.5">
      <c r="A80" s="406"/>
      <c r="B80" s="412"/>
      <c r="C80" s="412" t="s">
        <v>251</v>
      </c>
      <c r="D80" s="413"/>
      <c r="E80" s="188"/>
      <c r="F80" s="188"/>
      <c r="G80" s="314"/>
      <c r="H80" s="414"/>
      <c r="I80" s="414"/>
      <c r="J80" s="414"/>
      <c r="K80" s="392"/>
      <c r="L80" s="393"/>
    </row>
    <row r="81" spans="1:12" ht="16.5">
      <c r="A81" s="406"/>
      <c r="B81" s="412"/>
      <c r="C81" s="412"/>
      <c r="D81" s="412" t="s">
        <v>252</v>
      </c>
      <c r="E81" s="314">
        <f>332640+128+95556</f>
        <v>428324</v>
      </c>
      <c r="F81" s="314"/>
      <c r="G81" s="187"/>
      <c r="H81" s="382"/>
      <c r="I81" s="382"/>
      <c r="J81" s="382"/>
      <c r="K81" s="392"/>
      <c r="L81" s="393"/>
    </row>
    <row r="82" spans="1:12" ht="16.5">
      <c r="A82" s="406"/>
      <c r="B82" s="412"/>
      <c r="C82" s="412" t="s">
        <v>253</v>
      </c>
      <c r="D82" s="413"/>
      <c r="E82" s="187"/>
      <c r="F82" s="187"/>
      <c r="G82" s="187"/>
      <c r="H82" s="382"/>
      <c r="I82" s="382"/>
      <c r="J82" s="382"/>
      <c r="K82" s="392"/>
      <c r="L82" s="393"/>
    </row>
    <row r="83" spans="1:12" ht="16.5">
      <c r="A83" s="406"/>
      <c r="B83" s="412"/>
      <c r="C83" s="412"/>
      <c r="D83" s="412" t="s">
        <v>254</v>
      </c>
      <c r="E83" s="187">
        <v>195097</v>
      </c>
      <c r="F83" s="187"/>
      <c r="G83" s="187"/>
      <c r="H83" s="382"/>
      <c r="I83" s="382"/>
      <c r="J83" s="382"/>
      <c r="K83" s="392"/>
      <c r="L83" s="393"/>
    </row>
    <row r="84" spans="1:12" ht="16.5">
      <c r="A84" s="406"/>
      <c r="B84" s="412"/>
      <c r="C84" s="412"/>
      <c r="D84" s="413" t="s">
        <v>360</v>
      </c>
      <c r="E84" s="308"/>
      <c r="F84" s="308"/>
      <c r="G84" s="308"/>
      <c r="H84" s="391"/>
      <c r="I84" s="391"/>
      <c r="J84" s="391"/>
      <c r="K84" s="392"/>
      <c r="L84" s="393"/>
    </row>
    <row r="85" spans="1:12" ht="16.5">
      <c r="A85" s="406"/>
      <c r="B85" s="412"/>
      <c r="C85" s="412"/>
      <c r="D85" s="413"/>
      <c r="E85" s="308"/>
      <c r="F85" s="308"/>
      <c r="G85" s="308"/>
      <c r="H85" s="391"/>
      <c r="I85" s="391"/>
      <c r="J85" s="391"/>
      <c r="K85" s="392"/>
      <c r="L85" s="393"/>
    </row>
    <row r="86" spans="1:12" ht="16.5">
      <c r="A86" s="406"/>
      <c r="B86" s="377" t="s">
        <v>255</v>
      </c>
      <c r="C86" s="412"/>
      <c r="D86" s="412"/>
      <c r="E86" s="410">
        <f>E81-E83</f>
        <v>233227</v>
      </c>
      <c r="F86" s="410">
        <v>0</v>
      </c>
      <c r="G86" s="410">
        <f>G80-G82</f>
        <v>0</v>
      </c>
      <c r="H86" s="415"/>
      <c r="I86" s="415"/>
      <c r="J86" s="415"/>
      <c r="K86" s="392"/>
      <c r="L86" s="393"/>
    </row>
    <row r="87" spans="1:12" ht="16.5">
      <c r="A87" s="406"/>
      <c r="B87" s="377"/>
      <c r="C87" s="412"/>
      <c r="D87" s="412"/>
      <c r="E87" s="315"/>
      <c r="F87" s="315"/>
      <c r="G87" s="315"/>
      <c r="H87" s="416"/>
      <c r="I87" s="416"/>
      <c r="J87" s="416"/>
      <c r="K87" s="392"/>
      <c r="L87" s="393"/>
    </row>
    <row r="88" spans="1:12" ht="16.5">
      <c r="A88" s="411" t="s">
        <v>256</v>
      </c>
      <c r="B88" s="377" t="s">
        <v>257</v>
      </c>
      <c r="C88" s="412"/>
      <c r="D88" s="412"/>
      <c r="E88" s="315"/>
      <c r="F88" s="315"/>
      <c r="G88" s="315"/>
      <c r="H88" s="416"/>
      <c r="I88" s="416"/>
      <c r="J88" s="416"/>
      <c r="K88" s="392"/>
      <c r="L88" s="393"/>
    </row>
    <row r="89" spans="1:12" ht="16.5">
      <c r="A89" s="411"/>
      <c r="B89" s="377"/>
      <c r="C89" s="412" t="s">
        <v>258</v>
      </c>
      <c r="D89" s="412"/>
      <c r="E89" s="313"/>
      <c r="F89" s="313"/>
      <c r="G89" s="313"/>
      <c r="H89" s="405"/>
      <c r="I89" s="405"/>
      <c r="J89" s="405"/>
      <c r="K89" s="392"/>
      <c r="L89" s="393"/>
    </row>
    <row r="90" spans="1:12" ht="16.5">
      <c r="A90" s="411"/>
      <c r="B90" s="377"/>
      <c r="C90" s="412" t="s">
        <v>259</v>
      </c>
      <c r="D90" s="412"/>
      <c r="E90" s="315">
        <v>250133</v>
      </c>
      <c r="F90" s="315"/>
      <c r="G90" s="315"/>
      <c r="H90" s="416"/>
      <c r="I90" s="416"/>
      <c r="J90" s="416"/>
      <c r="K90" s="392"/>
      <c r="L90" s="393"/>
    </row>
    <row r="91" spans="1:12" ht="16.5">
      <c r="A91" s="411"/>
      <c r="B91" s="377"/>
      <c r="C91" s="412"/>
      <c r="D91" s="412"/>
      <c r="E91" s="315"/>
      <c r="F91" s="315"/>
      <c r="G91" s="315"/>
      <c r="H91" s="416"/>
      <c r="I91" s="416"/>
      <c r="J91" s="416"/>
      <c r="K91" s="392"/>
      <c r="L91" s="393"/>
    </row>
    <row r="92" spans="1:12" ht="16.5">
      <c r="A92" s="411"/>
      <c r="B92" s="377" t="s">
        <v>260</v>
      </c>
      <c r="C92" s="412"/>
      <c r="D92" s="412"/>
      <c r="E92" s="417">
        <v>-250133</v>
      </c>
      <c r="F92" s="315"/>
      <c r="G92" s="315"/>
      <c r="H92" s="416"/>
      <c r="I92" s="416"/>
      <c r="J92" s="416"/>
      <c r="K92" s="392"/>
      <c r="L92" s="393"/>
    </row>
    <row r="93" spans="1:12" ht="16.5">
      <c r="A93" s="406"/>
      <c r="B93" s="412"/>
      <c r="C93" s="412"/>
      <c r="D93" s="413"/>
      <c r="E93" s="314"/>
      <c r="F93" s="314"/>
      <c r="G93" s="314"/>
      <c r="H93" s="414"/>
      <c r="I93" s="414"/>
      <c r="J93" s="414"/>
      <c r="K93" s="392"/>
      <c r="L93" s="393"/>
    </row>
    <row r="94" spans="1:12" ht="16.5">
      <c r="A94" s="406"/>
      <c r="B94" s="591" t="s">
        <v>261</v>
      </c>
      <c r="C94" s="592"/>
      <c r="D94" s="592"/>
      <c r="E94" s="594">
        <f>E69+E76+E86+E92</f>
        <v>-556692</v>
      </c>
      <c r="F94" s="594">
        <v>17427.679999999702</v>
      </c>
      <c r="G94" s="594">
        <f>G69+G76+G86</f>
        <v>25535.631266666576</v>
      </c>
      <c r="H94" s="594">
        <f>H69+H76+H86</f>
        <v>9187.671183658764</v>
      </c>
      <c r="I94" s="594">
        <f>I69+I76+I86</f>
        <v>1276.5191329577938</v>
      </c>
      <c r="J94" s="594">
        <f>J69+J76+J86</f>
        <v>-42429.47024836857</v>
      </c>
      <c r="K94" s="596">
        <f>G94-F94</f>
        <v>8107.951266666874</v>
      </c>
      <c r="L94" s="418"/>
    </row>
    <row r="95" spans="1:12" ht="17.25" thickBot="1">
      <c r="A95" s="419"/>
      <c r="B95" s="593"/>
      <c r="C95" s="593"/>
      <c r="D95" s="593"/>
      <c r="E95" s="595"/>
      <c r="F95" s="595"/>
      <c r="G95" s="595"/>
      <c r="H95" s="595"/>
      <c r="I95" s="595"/>
      <c r="J95" s="595"/>
      <c r="K95" s="597">
        <f>G95-F95</f>
        <v>0</v>
      </c>
      <c r="L95" s="420"/>
    </row>
    <row r="96" spans="1:12" ht="16.5">
      <c r="A96" s="190"/>
      <c r="B96" s="191"/>
      <c r="C96" s="191"/>
      <c r="D96" s="191"/>
      <c r="E96" s="421"/>
      <c r="F96" s="421"/>
      <c r="G96" s="613"/>
      <c r="H96" s="422"/>
      <c r="I96" s="422"/>
      <c r="J96" s="422"/>
      <c r="K96" s="423"/>
      <c r="L96" s="424"/>
    </row>
    <row r="97" spans="1:12" ht="16.5" hidden="1">
      <c r="A97" s="192"/>
      <c r="B97" s="192" t="s">
        <v>262</v>
      </c>
      <c r="C97" s="192"/>
      <c r="D97" s="193"/>
      <c r="E97" s="316"/>
      <c r="F97" s="316"/>
      <c r="G97" s="614"/>
      <c r="H97" s="420"/>
      <c r="I97" s="420"/>
      <c r="J97" s="420"/>
      <c r="K97" s="424"/>
      <c r="L97" s="424"/>
    </row>
    <row r="98" spans="1:12" ht="16.5" hidden="1">
      <c r="A98" s="190"/>
      <c r="B98" s="190"/>
      <c r="C98" s="190"/>
      <c r="D98" s="194"/>
      <c r="E98" s="316"/>
      <c r="F98" s="316"/>
      <c r="G98" s="615"/>
      <c r="H98" s="425"/>
      <c r="I98" s="418"/>
      <c r="J98" s="418"/>
      <c r="K98" s="424"/>
      <c r="L98" s="424"/>
    </row>
    <row r="99" spans="1:12" ht="16.5" hidden="1">
      <c r="A99" s="190"/>
      <c r="B99" s="190" t="s">
        <v>263</v>
      </c>
      <c r="C99" s="190"/>
      <c r="D99" s="194"/>
      <c r="E99" s="316"/>
      <c r="F99" s="316"/>
      <c r="G99" s="614"/>
      <c r="H99" s="420"/>
      <c r="I99" s="420"/>
      <c r="J99" s="420"/>
      <c r="K99" s="424"/>
      <c r="L99" s="424"/>
    </row>
    <row r="100" spans="1:12" ht="16.5" hidden="1">
      <c r="A100" s="190"/>
      <c r="B100" s="190" t="s">
        <v>264</v>
      </c>
      <c r="C100" s="190"/>
      <c r="D100" s="194"/>
      <c r="E100" s="316"/>
      <c r="F100" s="316"/>
      <c r="G100" s="615"/>
      <c r="H100" s="418"/>
      <c r="I100" s="418"/>
      <c r="J100" s="418"/>
      <c r="K100" s="424"/>
      <c r="L100" s="424"/>
    </row>
    <row r="101" spans="1:12" ht="16.5" hidden="1">
      <c r="A101" s="190"/>
      <c r="B101" s="190" t="s">
        <v>265</v>
      </c>
      <c r="C101" s="190"/>
      <c r="D101" s="194"/>
      <c r="E101" s="316"/>
      <c r="F101" s="316"/>
      <c r="G101" s="614"/>
      <c r="H101" s="420"/>
      <c r="I101" s="420"/>
      <c r="J101" s="420"/>
      <c r="K101" s="424"/>
      <c r="L101" s="424"/>
    </row>
    <row r="102" spans="1:12" ht="16.5" hidden="1">
      <c r="A102" s="190"/>
      <c r="B102" s="190"/>
      <c r="C102" s="190"/>
      <c r="D102" s="190"/>
      <c r="E102" s="316"/>
      <c r="F102" s="316"/>
      <c r="G102" s="615"/>
      <c r="H102" s="418"/>
      <c r="I102" s="418"/>
      <c r="J102" s="418"/>
      <c r="K102" s="424"/>
      <c r="L102" s="424"/>
    </row>
    <row r="103" spans="1:12" ht="16.5" hidden="1">
      <c r="A103" s="190"/>
      <c r="B103" s="192" t="s">
        <v>266</v>
      </c>
      <c r="C103" s="190"/>
      <c r="D103" s="190"/>
      <c r="E103" s="316"/>
      <c r="F103" s="316"/>
      <c r="G103" s="614"/>
      <c r="H103" s="420"/>
      <c r="I103" s="420"/>
      <c r="J103" s="420"/>
      <c r="K103" s="424"/>
      <c r="L103" s="424"/>
    </row>
    <row r="104" spans="1:10" ht="15" hidden="1">
      <c r="A104" s="190"/>
      <c r="B104" s="186"/>
      <c r="D104" s="190"/>
      <c r="E104" s="317"/>
      <c r="F104" s="317"/>
      <c r="G104" s="317"/>
      <c r="H104" s="317"/>
      <c r="I104" s="317"/>
      <c r="J104" s="317"/>
    </row>
    <row r="105" spans="1:10" ht="15.75" thickBot="1">
      <c r="A105" s="195"/>
      <c r="B105" s="616"/>
      <c r="C105" s="616"/>
      <c r="D105" s="616"/>
      <c r="E105" s="317"/>
      <c r="F105" s="317"/>
      <c r="G105" s="317"/>
      <c r="H105" s="317"/>
      <c r="I105" s="317"/>
      <c r="J105" s="317"/>
    </row>
    <row r="106" spans="1:10" ht="15.75" thickBot="1">
      <c r="A106" s="195"/>
      <c r="B106" s="607" t="s">
        <v>415</v>
      </c>
      <c r="C106" s="608"/>
      <c r="D106" s="609"/>
      <c r="E106" s="426">
        <f>G94</f>
        <v>25535.631266666576</v>
      </c>
      <c r="F106" s="178"/>
      <c r="G106" s="178"/>
      <c r="H106" s="178"/>
      <c r="I106" s="178"/>
      <c r="J106" s="178"/>
    </row>
    <row r="107" spans="1:10" ht="15.75" thickBot="1">
      <c r="A107" s="195"/>
      <c r="B107" s="607" t="s">
        <v>416</v>
      </c>
      <c r="C107" s="608"/>
      <c r="D107" s="609"/>
      <c r="E107" s="426">
        <f>H94+I94+J94</f>
        <v>-31965.27993175201</v>
      </c>
      <c r="F107" s="178"/>
      <c r="G107" s="178"/>
      <c r="H107" s="178"/>
      <c r="I107" s="178"/>
      <c r="J107" s="178"/>
    </row>
    <row r="108" spans="1:10" ht="15.75" thickBot="1">
      <c r="A108" s="195"/>
      <c r="B108" s="427" t="s">
        <v>417</v>
      </c>
      <c r="C108" s="428"/>
      <c r="D108" s="429"/>
      <c r="E108" s="430">
        <v>917495</v>
      </c>
      <c r="F108" s="178"/>
      <c r="G108" s="178"/>
      <c r="H108" s="431"/>
      <c r="I108" s="178"/>
      <c r="J108" s="178"/>
    </row>
    <row r="109" spans="1:10" ht="16.5" thickBot="1">
      <c r="A109" s="195"/>
      <c r="B109" s="610" t="s">
        <v>418</v>
      </c>
      <c r="C109" s="611"/>
      <c r="D109" s="612"/>
      <c r="E109" s="426">
        <f>SUM(E106:E108)</f>
        <v>911065.3513349146</v>
      </c>
      <c r="F109" s="178"/>
      <c r="G109" s="178"/>
      <c r="H109" s="178"/>
      <c r="I109" s="178"/>
      <c r="J109" s="178"/>
    </row>
    <row r="110" spans="1:10" ht="15">
      <c r="A110" s="195"/>
      <c r="B110" s="195"/>
      <c r="C110" s="195"/>
      <c r="D110" s="195"/>
      <c r="E110" s="317"/>
      <c r="F110" s="317"/>
      <c r="G110" s="317"/>
      <c r="H110" s="317"/>
      <c r="I110" s="317"/>
      <c r="J110" s="317"/>
    </row>
    <row r="111" spans="1:10" ht="12.75">
      <c r="A111" s="196"/>
      <c r="B111" s="196"/>
      <c r="C111" s="196"/>
      <c r="E111" s="318"/>
      <c r="F111" s="318"/>
      <c r="G111" s="318"/>
      <c r="H111" s="318"/>
      <c r="I111" s="318"/>
      <c r="J111" s="318"/>
    </row>
    <row r="112" spans="1:10" ht="12.75">
      <c r="A112" s="196" t="s">
        <v>419</v>
      </c>
      <c r="B112" s="196"/>
      <c r="C112" s="196"/>
      <c r="E112" s="318"/>
      <c r="F112" s="318"/>
      <c r="G112" s="318"/>
      <c r="H112" s="318"/>
      <c r="I112" s="318"/>
      <c r="J112" s="318"/>
    </row>
    <row r="113" spans="1:10" ht="12.75">
      <c r="A113" s="196"/>
      <c r="E113" s="318"/>
      <c r="F113" s="318"/>
      <c r="G113" s="318"/>
      <c r="H113" s="318"/>
      <c r="I113" s="318"/>
      <c r="J113" s="318"/>
    </row>
    <row r="114" spans="1:10" ht="12.75">
      <c r="A114" s="196"/>
      <c r="E114" s="318"/>
      <c r="F114" s="318"/>
      <c r="G114" s="318"/>
      <c r="H114" s="318"/>
      <c r="I114" s="318"/>
      <c r="J114" s="318"/>
    </row>
    <row r="115" spans="1:10" ht="12.75">
      <c r="A115" s="196"/>
      <c r="E115" s="318"/>
      <c r="F115" s="318"/>
      <c r="G115" s="318"/>
      <c r="H115" s="318"/>
      <c r="I115" s="318"/>
      <c r="J115" s="318"/>
    </row>
    <row r="116" spans="1:10" ht="12.75">
      <c r="A116" s="196"/>
      <c r="E116" s="318"/>
      <c r="F116" s="318"/>
      <c r="G116" s="318"/>
      <c r="H116" s="318"/>
      <c r="I116" s="318"/>
      <c r="J116" s="318"/>
    </row>
    <row r="117" spans="1:10" ht="12.75">
      <c r="A117" s="196"/>
      <c r="E117" s="318"/>
      <c r="F117" s="318"/>
      <c r="G117" s="318"/>
      <c r="H117" s="318"/>
      <c r="I117" s="318"/>
      <c r="J117" s="318"/>
    </row>
    <row r="118" spans="1:10" ht="12.75">
      <c r="A118" s="196"/>
      <c r="B118" s="198"/>
      <c r="C118" s="198"/>
      <c r="E118" s="318"/>
      <c r="F118" s="318"/>
      <c r="G118" s="318"/>
      <c r="H118" s="318"/>
      <c r="I118" s="318"/>
      <c r="J118" s="318"/>
    </row>
    <row r="119" spans="1:10" ht="12.75">
      <c r="A119" s="196"/>
      <c r="B119" s="196"/>
      <c r="C119" s="196"/>
      <c r="E119" s="318"/>
      <c r="F119" s="318"/>
      <c r="G119" s="318"/>
      <c r="H119" s="318"/>
      <c r="I119" s="318"/>
      <c r="J119" s="318"/>
    </row>
    <row r="120" spans="1:10" ht="12.75">
      <c r="A120" s="198"/>
      <c r="B120" s="198"/>
      <c r="C120" s="198"/>
      <c r="E120" s="318"/>
      <c r="F120" s="318"/>
      <c r="G120" s="318"/>
      <c r="H120" s="318"/>
      <c r="I120" s="318"/>
      <c r="J120" s="318"/>
    </row>
    <row r="121" spans="1:10" ht="12.75">
      <c r="A121" s="196"/>
      <c r="B121" s="196"/>
      <c r="C121" s="196"/>
      <c r="E121" s="318"/>
      <c r="F121" s="318"/>
      <c r="G121" s="318"/>
      <c r="H121" s="318"/>
      <c r="I121" s="318"/>
      <c r="J121" s="318"/>
    </row>
    <row r="122" spans="1:10" ht="12.75">
      <c r="A122" s="196"/>
      <c r="B122" s="196"/>
      <c r="C122" s="196"/>
      <c r="E122" s="318"/>
      <c r="F122" s="318"/>
      <c r="G122" s="318"/>
      <c r="H122" s="318"/>
      <c r="I122" s="318"/>
      <c r="J122" s="318"/>
    </row>
    <row r="123" spans="1:10" ht="12.75">
      <c r="A123" s="196"/>
      <c r="B123" s="196"/>
      <c r="C123" s="196"/>
      <c r="E123" s="318"/>
      <c r="F123" s="318"/>
      <c r="G123" s="318"/>
      <c r="H123" s="318"/>
      <c r="I123" s="318"/>
      <c r="J123" s="318"/>
    </row>
    <row r="124" spans="1:10" ht="12.75">
      <c r="A124" s="196"/>
      <c r="B124" s="196"/>
      <c r="C124" s="196"/>
      <c r="D124" s="196"/>
      <c r="E124" s="310"/>
      <c r="F124" s="310"/>
      <c r="G124" s="310"/>
      <c r="H124" s="310"/>
      <c r="I124" s="310"/>
      <c r="J124" s="310"/>
    </row>
    <row r="125" spans="1:10" ht="12.75">
      <c r="A125" s="196"/>
      <c r="B125" s="198"/>
      <c r="C125" s="198"/>
      <c r="D125" s="198"/>
      <c r="E125" s="310"/>
      <c r="F125" s="310"/>
      <c r="G125" s="310"/>
      <c r="H125" s="310"/>
      <c r="I125" s="310"/>
      <c r="J125" s="310"/>
    </row>
    <row r="126" spans="1:10" ht="12.75">
      <c r="A126" s="196"/>
      <c r="B126" s="196"/>
      <c r="C126" s="196"/>
      <c r="D126" s="196"/>
      <c r="E126" s="310"/>
      <c r="F126" s="310"/>
      <c r="G126" s="310"/>
      <c r="H126" s="310"/>
      <c r="I126" s="310"/>
      <c r="J126" s="310"/>
    </row>
    <row r="127" spans="1:10" ht="12.75">
      <c r="A127" s="196"/>
      <c r="B127" s="196"/>
      <c r="C127" s="196"/>
      <c r="D127" s="196"/>
      <c r="E127" s="310"/>
      <c r="F127" s="310"/>
      <c r="G127" s="310"/>
      <c r="H127" s="310"/>
      <c r="I127" s="310"/>
      <c r="J127" s="310"/>
    </row>
    <row r="128" spans="1:10" ht="12.75">
      <c r="A128" s="196"/>
      <c r="B128" s="196"/>
      <c r="C128" s="196"/>
      <c r="D128" s="196"/>
      <c r="E128" s="310"/>
      <c r="F128" s="310"/>
      <c r="G128" s="310"/>
      <c r="H128" s="310"/>
      <c r="I128" s="310"/>
      <c r="J128" s="310"/>
    </row>
    <row r="129" spans="1:10" ht="12.75">
      <c r="A129" s="196"/>
      <c r="B129" s="196"/>
      <c r="C129" s="196"/>
      <c r="D129" s="196"/>
      <c r="E129" s="310"/>
      <c r="F129" s="310"/>
      <c r="G129" s="310"/>
      <c r="H129" s="310"/>
      <c r="I129" s="310"/>
      <c r="J129" s="310"/>
    </row>
    <row r="130" spans="1:10" ht="12.75">
      <c r="A130" s="196"/>
      <c r="B130" s="196"/>
      <c r="C130" s="196"/>
      <c r="D130" s="196"/>
      <c r="E130" s="199"/>
      <c r="F130" s="199"/>
      <c r="G130" s="199"/>
      <c r="H130" s="199"/>
      <c r="I130" s="199"/>
      <c r="J130" s="199"/>
    </row>
    <row r="131" spans="1:10" ht="12.75">
      <c r="A131" s="196"/>
      <c r="B131" s="196"/>
      <c r="C131" s="196"/>
      <c r="D131" s="196"/>
      <c r="E131" s="199"/>
      <c r="F131" s="199"/>
      <c r="G131" s="199"/>
      <c r="H131" s="199"/>
      <c r="I131" s="199"/>
      <c r="J131" s="199"/>
    </row>
    <row r="132" spans="1:10" ht="12.75">
      <c r="A132" s="196"/>
      <c r="B132" s="198"/>
      <c r="C132" s="198"/>
      <c r="D132" s="198"/>
      <c r="E132" s="199"/>
      <c r="F132" s="199"/>
      <c r="G132" s="199"/>
      <c r="H132" s="199"/>
      <c r="I132" s="199"/>
      <c r="J132" s="199"/>
    </row>
    <row r="133" spans="1:10" ht="12.75">
      <c r="A133" s="196"/>
      <c r="B133" s="196"/>
      <c r="C133" s="196"/>
      <c r="D133" s="196"/>
      <c r="E133" s="199"/>
      <c r="F133" s="199"/>
      <c r="G133" s="199"/>
      <c r="H133" s="199"/>
      <c r="I133" s="199"/>
      <c r="J133" s="199"/>
    </row>
    <row r="134" spans="1:10" ht="12.75">
      <c r="A134" s="196"/>
      <c r="B134" s="198"/>
      <c r="C134" s="198"/>
      <c r="D134" s="198"/>
      <c r="E134" s="199"/>
      <c r="F134" s="199"/>
      <c r="G134" s="199"/>
      <c r="H134" s="199"/>
      <c r="I134" s="199"/>
      <c r="J134" s="199"/>
    </row>
    <row r="135" spans="1:10" ht="12.75">
      <c r="A135" s="196"/>
      <c r="B135" s="196"/>
      <c r="C135" s="196"/>
      <c r="D135" s="196"/>
      <c r="E135" s="199"/>
      <c r="F135" s="199"/>
      <c r="G135" s="199"/>
      <c r="H135" s="199"/>
      <c r="I135" s="199"/>
      <c r="J135" s="199"/>
    </row>
    <row r="136" spans="1:10" ht="12.75">
      <c r="A136" s="196"/>
      <c r="B136" s="198"/>
      <c r="C136" s="198"/>
      <c r="D136" s="198"/>
      <c r="E136" s="199"/>
      <c r="F136" s="199"/>
      <c r="G136" s="199"/>
      <c r="H136" s="199"/>
      <c r="I136" s="199"/>
      <c r="J136" s="199"/>
    </row>
    <row r="137" spans="1:10" ht="12.75">
      <c r="A137" s="196"/>
      <c r="B137" s="198"/>
      <c r="C137" s="198"/>
      <c r="D137" s="198"/>
      <c r="E137" s="199"/>
      <c r="F137" s="199"/>
      <c r="G137" s="199"/>
      <c r="H137" s="199"/>
      <c r="I137" s="199"/>
      <c r="J137" s="199"/>
    </row>
    <row r="138" spans="1:10" ht="12.75">
      <c r="A138" s="196"/>
      <c r="B138" s="196"/>
      <c r="C138" s="196"/>
      <c r="D138" s="196"/>
      <c r="E138" s="199"/>
      <c r="F138" s="199"/>
      <c r="G138" s="199"/>
      <c r="H138" s="199"/>
      <c r="I138" s="199"/>
      <c r="J138" s="199"/>
    </row>
    <row r="139" spans="1:10" ht="12.75">
      <c r="A139" s="196"/>
      <c r="B139" s="196"/>
      <c r="C139" s="196"/>
      <c r="D139" s="196"/>
      <c r="E139" s="199"/>
      <c r="F139" s="199"/>
      <c r="G139" s="199"/>
      <c r="H139" s="199"/>
      <c r="I139" s="199"/>
      <c r="J139" s="199"/>
    </row>
    <row r="140" spans="1:10" ht="12.75">
      <c r="A140" s="196"/>
      <c r="B140" s="196"/>
      <c r="C140" s="196"/>
      <c r="D140" s="196"/>
      <c r="E140" s="199"/>
      <c r="F140" s="199"/>
      <c r="G140" s="199"/>
      <c r="H140" s="199"/>
      <c r="I140" s="199"/>
      <c r="J140" s="199"/>
    </row>
    <row r="141" spans="1:10" ht="12.75">
      <c r="A141" s="196"/>
      <c r="B141" s="196"/>
      <c r="C141" s="196"/>
      <c r="D141" s="196"/>
      <c r="E141" s="199"/>
      <c r="F141" s="199"/>
      <c r="G141" s="199"/>
      <c r="H141" s="199"/>
      <c r="I141" s="199"/>
      <c r="J141" s="199"/>
    </row>
    <row r="142" spans="1:10" ht="12.75">
      <c r="A142" s="196"/>
      <c r="B142" s="196"/>
      <c r="C142" s="196"/>
      <c r="D142" s="196"/>
      <c r="E142" s="199"/>
      <c r="F142" s="199"/>
      <c r="G142" s="199"/>
      <c r="H142" s="199"/>
      <c r="I142" s="199"/>
      <c r="J142" s="199"/>
    </row>
    <row r="143" spans="1:10" ht="12.75">
      <c r="A143" s="196"/>
      <c r="B143" s="196"/>
      <c r="C143" s="196"/>
      <c r="D143" s="196"/>
      <c r="E143" s="199"/>
      <c r="F143" s="199"/>
      <c r="G143" s="199"/>
      <c r="H143" s="199"/>
      <c r="I143" s="199"/>
      <c r="J143" s="199"/>
    </row>
    <row r="144" spans="1:10" ht="12.75">
      <c r="A144" s="196"/>
      <c r="B144" s="196"/>
      <c r="C144" s="196"/>
      <c r="D144" s="196"/>
      <c r="E144" s="199"/>
      <c r="F144" s="199"/>
      <c r="G144" s="199"/>
      <c r="H144" s="199"/>
      <c r="I144" s="199"/>
      <c r="J144" s="199"/>
    </row>
    <row r="145" spans="1:10" ht="12.75">
      <c r="A145" s="196"/>
      <c r="B145" s="196"/>
      <c r="C145" s="196"/>
      <c r="D145" s="196"/>
      <c r="E145" s="199"/>
      <c r="F145" s="199"/>
      <c r="G145" s="199"/>
      <c r="H145" s="199"/>
      <c r="I145" s="199"/>
      <c r="J145" s="199"/>
    </row>
    <row r="146" spans="1:10" ht="12.75">
      <c r="A146" s="196"/>
      <c r="B146" s="196"/>
      <c r="C146" s="196"/>
      <c r="D146" s="196"/>
      <c r="E146" s="199"/>
      <c r="F146" s="199"/>
      <c r="G146" s="199"/>
      <c r="H146" s="199"/>
      <c r="I146" s="199"/>
      <c r="J146" s="199"/>
    </row>
    <row r="147" spans="1:10" ht="12.75">
      <c r="A147" s="196"/>
      <c r="B147" s="196"/>
      <c r="C147" s="196"/>
      <c r="D147" s="196"/>
      <c r="E147" s="199"/>
      <c r="F147" s="199"/>
      <c r="G147" s="199"/>
      <c r="H147" s="199"/>
      <c r="I147" s="199"/>
      <c r="J147" s="199"/>
    </row>
    <row r="148" spans="1:10" ht="12.75">
      <c r="A148" s="196"/>
      <c r="B148" s="196"/>
      <c r="C148" s="196"/>
      <c r="D148" s="196"/>
      <c r="E148" s="199"/>
      <c r="F148" s="199"/>
      <c r="G148" s="199"/>
      <c r="H148" s="199"/>
      <c r="I148" s="199"/>
      <c r="J148" s="199"/>
    </row>
    <row r="149" spans="1:10" ht="12.75">
      <c r="A149" s="196"/>
      <c r="B149" s="196"/>
      <c r="C149" s="196"/>
      <c r="D149" s="196"/>
      <c r="E149" s="199"/>
      <c r="F149" s="199"/>
      <c r="G149" s="199"/>
      <c r="H149" s="199"/>
      <c r="I149" s="199"/>
      <c r="J149" s="199"/>
    </row>
    <row r="150" spans="1:10" ht="12.75">
      <c r="A150" s="196"/>
      <c r="B150" s="196"/>
      <c r="C150" s="196"/>
      <c r="D150" s="196"/>
      <c r="E150" s="199"/>
      <c r="F150" s="199"/>
      <c r="G150" s="199"/>
      <c r="H150" s="199"/>
      <c r="I150" s="199"/>
      <c r="J150" s="199"/>
    </row>
    <row r="151" spans="1:10" ht="12.75">
      <c r="A151" s="196"/>
      <c r="B151" s="196"/>
      <c r="C151" s="196"/>
      <c r="D151" s="196"/>
      <c r="E151" s="199"/>
      <c r="F151" s="199"/>
      <c r="G151" s="199"/>
      <c r="H151" s="199"/>
      <c r="I151" s="199"/>
      <c r="J151" s="199"/>
    </row>
    <row r="152" spans="1:10" ht="12.75">
      <c r="A152" s="196"/>
      <c r="B152" s="196"/>
      <c r="C152" s="196"/>
      <c r="D152" s="196"/>
      <c r="E152" s="199"/>
      <c r="F152" s="199"/>
      <c r="G152" s="199"/>
      <c r="H152" s="199"/>
      <c r="I152" s="199"/>
      <c r="J152" s="199"/>
    </row>
    <row r="153" spans="1:10" ht="12.75">
      <c r="A153" s="196"/>
      <c r="B153" s="196"/>
      <c r="C153" s="196"/>
      <c r="D153" s="196"/>
      <c r="E153" s="199"/>
      <c r="F153" s="199"/>
      <c r="G153" s="199"/>
      <c r="H153" s="199"/>
      <c r="I153" s="199"/>
      <c r="J153" s="199"/>
    </row>
    <row r="154" spans="1:10" ht="12.75">
      <c r="A154" s="196"/>
      <c r="B154" s="196"/>
      <c r="C154" s="196"/>
      <c r="D154" s="196"/>
      <c r="E154" s="199"/>
      <c r="F154" s="199"/>
      <c r="G154" s="199"/>
      <c r="H154" s="199"/>
      <c r="I154" s="199"/>
      <c r="J154" s="199"/>
    </row>
    <row r="155" spans="1:10" ht="12.75">
      <c r="A155" s="196"/>
      <c r="B155" s="196"/>
      <c r="C155" s="196"/>
      <c r="D155" s="196"/>
      <c r="E155" s="199"/>
      <c r="F155" s="199"/>
      <c r="G155" s="199"/>
      <c r="H155" s="199"/>
      <c r="I155" s="199"/>
      <c r="J155" s="199"/>
    </row>
    <row r="156" spans="1:10" ht="12.75">
      <c r="A156" s="196"/>
      <c r="B156" s="196"/>
      <c r="C156" s="196"/>
      <c r="D156" s="196"/>
      <c r="E156" s="199"/>
      <c r="F156" s="199"/>
      <c r="G156" s="199"/>
      <c r="H156" s="199"/>
      <c r="I156" s="199"/>
      <c r="J156" s="199"/>
    </row>
    <row r="157" spans="1:10" ht="12.75">
      <c r="A157" s="196"/>
      <c r="B157" s="196"/>
      <c r="C157" s="196"/>
      <c r="D157" s="196"/>
      <c r="E157" s="199"/>
      <c r="F157" s="199"/>
      <c r="G157" s="199"/>
      <c r="H157" s="199"/>
      <c r="I157" s="199"/>
      <c r="J157" s="199"/>
    </row>
    <row r="158" spans="1:10" ht="12.75">
      <c r="A158" s="196"/>
      <c r="B158" s="196"/>
      <c r="C158" s="196"/>
      <c r="D158" s="196"/>
      <c r="E158" s="199"/>
      <c r="F158" s="199"/>
      <c r="G158" s="199"/>
      <c r="H158" s="199"/>
      <c r="I158" s="199"/>
      <c r="J158" s="199"/>
    </row>
    <row r="159" spans="1:10" ht="12.75">
      <c r="A159" s="196"/>
      <c r="B159" s="196"/>
      <c r="C159" s="196"/>
      <c r="D159" s="196"/>
      <c r="E159" s="199"/>
      <c r="F159" s="199"/>
      <c r="G159" s="199"/>
      <c r="H159" s="199"/>
      <c r="I159" s="199"/>
      <c r="J159" s="199"/>
    </row>
    <row r="160" spans="1:10" ht="12.75">
      <c r="A160" s="196"/>
      <c r="B160" s="196"/>
      <c r="C160" s="196"/>
      <c r="D160" s="196"/>
      <c r="E160" s="199"/>
      <c r="F160" s="199"/>
      <c r="G160" s="199"/>
      <c r="H160" s="199"/>
      <c r="I160" s="199"/>
      <c r="J160" s="199"/>
    </row>
    <row r="161" spans="1:10" ht="12.75">
      <c r="A161" s="196"/>
      <c r="B161" s="196"/>
      <c r="C161" s="196"/>
      <c r="D161" s="196"/>
      <c r="E161" s="199"/>
      <c r="F161" s="199"/>
      <c r="G161" s="199"/>
      <c r="H161" s="199"/>
      <c r="I161" s="199"/>
      <c r="J161" s="199"/>
    </row>
    <row r="162" spans="1:10" ht="12.75">
      <c r="A162" s="196"/>
      <c r="B162" s="196"/>
      <c r="C162" s="196"/>
      <c r="D162" s="196"/>
      <c r="E162" s="199"/>
      <c r="F162" s="199"/>
      <c r="G162" s="199"/>
      <c r="H162" s="199"/>
      <c r="I162" s="199"/>
      <c r="J162" s="199"/>
    </row>
    <row r="163" spans="1:10" ht="12.75">
      <c r="A163" s="196"/>
      <c r="B163" s="196"/>
      <c r="C163" s="196"/>
      <c r="D163" s="196"/>
      <c r="E163" s="199"/>
      <c r="F163" s="199"/>
      <c r="G163" s="199"/>
      <c r="H163" s="199"/>
      <c r="I163" s="199"/>
      <c r="J163" s="199"/>
    </row>
  </sheetData>
  <sheetProtection/>
  <mergeCells count="27">
    <mergeCell ref="H94:H95"/>
    <mergeCell ref="A1:K1"/>
    <mergeCell ref="A2:K3"/>
    <mergeCell ref="A4:K5"/>
    <mergeCell ref="A6:K7"/>
    <mergeCell ref="A8:K9"/>
    <mergeCell ref="B23:D23"/>
    <mergeCell ref="I94:I95"/>
    <mergeCell ref="J94:J95"/>
    <mergeCell ref="B44:D44"/>
    <mergeCell ref="B46:D46"/>
    <mergeCell ref="B57:D57"/>
    <mergeCell ref="B69:D69"/>
    <mergeCell ref="B76:D76"/>
    <mergeCell ref="B94:D95"/>
    <mergeCell ref="F94:F95"/>
    <mergeCell ref="E94:E95"/>
    <mergeCell ref="G94:G95"/>
    <mergeCell ref="B106:D106"/>
    <mergeCell ref="B107:D107"/>
    <mergeCell ref="B109:D109"/>
    <mergeCell ref="K94:K95"/>
    <mergeCell ref="G96:G97"/>
    <mergeCell ref="G98:G99"/>
    <mergeCell ref="G100:G101"/>
    <mergeCell ref="G102:G103"/>
    <mergeCell ref="B105:D105"/>
  </mergeCells>
  <printOptions/>
  <pageMargins left="0.7" right="0.7" top="0.75" bottom="0.75" header="0.3" footer="0.3"/>
  <pageSetup fitToWidth="0" fitToHeight="1" horizontalDpi="600" verticalDpi="600" orientation="portrait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44">
      <selection activeCell="G44" sqref="G44"/>
    </sheetView>
  </sheetViews>
  <sheetFormatPr defaultColWidth="9.140625" defaultRowHeight="12.75"/>
  <cols>
    <col min="3" max="3" width="35.00390625" style="0" customWidth="1"/>
    <col min="4" max="4" width="27.00390625" style="0" customWidth="1"/>
    <col min="5" max="5" width="39.00390625" style="0" customWidth="1"/>
    <col min="6" max="6" width="16.00390625" style="0" bestFit="1" customWidth="1"/>
    <col min="7" max="7" width="15.140625" style="0" bestFit="1" customWidth="1"/>
    <col min="8" max="8" width="16.00390625" style="0" bestFit="1" customWidth="1"/>
    <col min="10" max="10" width="14.00390625" style="0" bestFit="1" customWidth="1"/>
    <col min="11" max="11" width="10.28125" style="0" bestFit="1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7.25" customHeight="1">
      <c r="A2" s="3" t="s">
        <v>125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77" t="s">
        <v>156</v>
      </c>
      <c r="B3" s="4"/>
      <c r="C3" s="4"/>
      <c r="D3" s="4"/>
      <c r="E3" s="4"/>
      <c r="F3" s="4"/>
      <c r="G3" s="4"/>
      <c r="H3" s="4"/>
      <c r="I3" s="4"/>
    </row>
    <row r="4" spans="1:9" ht="17.25" customHeight="1">
      <c r="A4" s="3" t="s">
        <v>126</v>
      </c>
      <c r="B4" s="4"/>
      <c r="C4" s="4"/>
      <c r="D4" s="4"/>
      <c r="E4" s="4"/>
      <c r="F4" s="4"/>
      <c r="G4" s="4"/>
      <c r="H4" s="4"/>
      <c r="I4" s="4"/>
    </row>
    <row r="5" spans="1:9" ht="36" customHeight="1">
      <c r="A5" s="630" t="s">
        <v>180</v>
      </c>
      <c r="B5" s="630"/>
      <c r="C5" s="630"/>
      <c r="D5" s="630"/>
      <c r="E5" s="630"/>
      <c r="F5" s="630"/>
      <c r="G5" s="630"/>
      <c r="H5" s="630"/>
      <c r="I5" s="630"/>
    </row>
    <row r="6" spans="1:9" ht="52.5" customHeight="1">
      <c r="A6" s="634" t="s">
        <v>157</v>
      </c>
      <c r="B6" s="635"/>
      <c r="C6" s="635"/>
      <c r="D6" s="635"/>
      <c r="E6" s="635"/>
      <c r="F6" s="4"/>
      <c r="G6" s="4"/>
      <c r="H6" s="4"/>
      <c r="I6" s="4"/>
    </row>
    <row r="7" spans="1:9" ht="35.25" customHeight="1">
      <c r="A7" s="634" t="s">
        <v>158</v>
      </c>
      <c r="B7" s="635"/>
      <c r="C7" s="635"/>
      <c r="D7" s="635"/>
      <c r="E7" s="635"/>
      <c r="F7" s="635"/>
      <c r="G7" s="4"/>
      <c r="H7" s="4"/>
      <c r="I7" s="4"/>
    </row>
    <row r="8" spans="1:9" ht="11.25" customHeight="1">
      <c r="A8" s="144"/>
      <c r="B8" s="95"/>
      <c r="C8" s="95"/>
      <c r="D8" s="95"/>
      <c r="E8" s="95"/>
      <c r="F8" s="95"/>
      <c r="G8" s="4"/>
      <c r="H8" s="4"/>
      <c r="I8" s="4"/>
    </row>
    <row r="9" spans="1:9" ht="12.75">
      <c r="A9" s="77" t="s">
        <v>66</v>
      </c>
      <c r="B9" s="4"/>
      <c r="C9" s="3" t="s">
        <v>59</v>
      </c>
      <c r="D9" s="4"/>
      <c r="E9" s="4"/>
      <c r="F9" s="4"/>
      <c r="G9" s="4"/>
      <c r="H9" s="4"/>
      <c r="I9" s="4"/>
    </row>
    <row r="10" spans="1:9" ht="12.75">
      <c r="A10" s="77"/>
      <c r="B10" s="4"/>
      <c r="C10" s="3"/>
      <c r="D10" s="4"/>
      <c r="E10" s="4"/>
      <c r="F10" s="4"/>
      <c r="G10" s="4"/>
      <c r="H10" s="4"/>
      <c r="I10" s="4"/>
    </row>
    <row r="11" spans="1:9" ht="12.75">
      <c r="A11" s="77" t="s">
        <v>176</v>
      </c>
      <c r="B11" s="4"/>
      <c r="C11" s="3"/>
      <c r="D11" s="4"/>
      <c r="E11" s="4"/>
      <c r="F11" s="4"/>
      <c r="G11" s="4"/>
      <c r="H11" s="4"/>
      <c r="I11" s="4"/>
    </row>
    <row r="12" spans="1:9" ht="12.75">
      <c r="A12" s="3" t="s">
        <v>177</v>
      </c>
      <c r="B12" s="4"/>
      <c r="C12" s="3"/>
      <c r="D12" s="4"/>
      <c r="E12" s="4"/>
      <c r="F12" s="4"/>
      <c r="G12" s="4"/>
      <c r="H12" s="4"/>
      <c r="I12" s="4"/>
    </row>
    <row r="13" spans="1:9" ht="12.75">
      <c r="A13" s="77" t="s">
        <v>127</v>
      </c>
      <c r="B13" s="4"/>
      <c r="C13" s="3"/>
      <c r="D13" s="4"/>
      <c r="E13" s="4"/>
      <c r="F13" s="4"/>
      <c r="G13" s="4"/>
      <c r="H13" s="4"/>
      <c r="I13" s="4"/>
    </row>
    <row r="14" spans="1:9" ht="42.75" customHeight="1">
      <c r="A14" s="634" t="s">
        <v>128</v>
      </c>
      <c r="B14" s="635"/>
      <c r="C14" s="635"/>
      <c r="D14" s="635"/>
      <c r="E14" s="635"/>
      <c r="F14" s="4"/>
      <c r="G14" s="4"/>
      <c r="H14" s="4"/>
      <c r="I14" s="4"/>
    </row>
    <row r="15" spans="1:9" ht="56.25" customHeight="1">
      <c r="A15" s="636" t="s">
        <v>181</v>
      </c>
      <c r="B15" s="636"/>
      <c r="C15" s="636"/>
      <c r="D15" s="636"/>
      <c r="E15" s="637"/>
      <c r="F15" s="4"/>
      <c r="G15" s="4"/>
      <c r="H15" s="4"/>
      <c r="I15" s="4"/>
    </row>
    <row r="16" spans="1:9" ht="12.75">
      <c r="A16" s="105" t="s">
        <v>52</v>
      </c>
      <c r="B16" s="105" t="s">
        <v>53</v>
      </c>
      <c r="C16" s="106">
        <v>0.2</v>
      </c>
      <c r="D16" s="105" t="s">
        <v>54</v>
      </c>
      <c r="E16" s="107" t="s">
        <v>55</v>
      </c>
      <c r="F16" s="4"/>
      <c r="G16" s="4"/>
      <c r="H16" s="4"/>
      <c r="I16" s="4"/>
    </row>
    <row r="17" spans="1:9" ht="12.75">
      <c r="A17" s="77"/>
      <c r="B17" s="77"/>
      <c r="C17" s="96">
        <v>0.4</v>
      </c>
      <c r="D17" s="77" t="s">
        <v>54</v>
      </c>
      <c r="E17" s="108" t="s">
        <v>54</v>
      </c>
      <c r="F17" s="4"/>
      <c r="G17" s="4"/>
      <c r="H17" s="4"/>
      <c r="I17" s="4"/>
    </row>
    <row r="18" spans="1:9" ht="12.75">
      <c r="A18" s="77" t="s">
        <v>56</v>
      </c>
      <c r="B18" s="4"/>
      <c r="C18" s="96">
        <v>0.4</v>
      </c>
      <c r="D18" s="77" t="s">
        <v>54</v>
      </c>
      <c r="E18" s="108" t="s">
        <v>54</v>
      </c>
      <c r="F18" s="4"/>
      <c r="G18" s="4"/>
      <c r="H18" s="4"/>
      <c r="I18" s="4"/>
    </row>
    <row r="19" spans="1:9" ht="12.75">
      <c r="A19" s="77"/>
      <c r="B19" s="4"/>
      <c r="C19" s="96">
        <v>0.4</v>
      </c>
      <c r="D19" s="77" t="s">
        <v>54</v>
      </c>
      <c r="E19" s="108" t="s">
        <v>55</v>
      </c>
      <c r="F19" s="4"/>
      <c r="G19" s="4"/>
      <c r="H19" s="4"/>
      <c r="I19" s="4"/>
    </row>
    <row r="20" spans="1:9" ht="12.75">
      <c r="A20" s="77"/>
      <c r="B20" s="4"/>
      <c r="C20" s="96"/>
      <c r="D20" s="77"/>
      <c r="E20" s="108"/>
      <c r="F20" s="4"/>
      <c r="G20" s="4"/>
      <c r="H20" s="4"/>
      <c r="I20" s="4"/>
    </row>
    <row r="21" spans="1:9" ht="12.75">
      <c r="A21" s="109"/>
      <c r="B21" s="109"/>
      <c r="C21" s="110"/>
      <c r="D21" s="111"/>
      <c r="E21" s="112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28" t="s">
        <v>58</v>
      </c>
      <c r="B23" s="30"/>
      <c r="C23" s="30"/>
      <c r="D23" s="30"/>
      <c r="E23" s="30"/>
      <c r="F23" s="92" t="s">
        <v>57</v>
      </c>
      <c r="G23" s="29"/>
      <c r="H23" s="4"/>
      <c r="I23" s="4"/>
    </row>
    <row r="24" spans="1:9" ht="12.75">
      <c r="A24" s="77"/>
      <c r="B24" s="4"/>
      <c r="C24" s="3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77"/>
      <c r="F25" s="77"/>
      <c r="G25" s="4"/>
      <c r="H25" s="4"/>
      <c r="I25" s="4"/>
    </row>
    <row r="26" spans="1:9" ht="12.75">
      <c r="A26" s="92" t="s">
        <v>51</v>
      </c>
      <c r="B26" s="30"/>
      <c r="C26" s="113">
        <v>1236000</v>
      </c>
      <c r="D26" s="28"/>
      <c r="E26" s="30"/>
      <c r="F26" s="92" t="s">
        <v>60</v>
      </c>
      <c r="G26" s="29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77" t="s">
        <v>63</v>
      </c>
      <c r="B28" s="4"/>
      <c r="C28" s="77" t="s">
        <v>61</v>
      </c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77" t="s">
        <v>62</v>
      </c>
      <c r="B30" s="4"/>
      <c r="C30" s="4"/>
      <c r="D30" s="77"/>
      <c r="E30" s="4"/>
      <c r="F30" s="4"/>
      <c r="G30" s="4"/>
      <c r="H30" s="4"/>
      <c r="I30" s="4"/>
    </row>
    <row r="31" spans="1:9" ht="12.75">
      <c r="A31" s="4"/>
      <c r="B31" s="4"/>
      <c r="C31" s="4"/>
      <c r="D31" s="77" t="s">
        <v>160</v>
      </c>
      <c r="E31" s="4"/>
      <c r="F31" s="4"/>
      <c r="G31" s="4"/>
      <c r="H31" s="4"/>
      <c r="I31" s="4"/>
    </row>
    <row r="32" spans="1:9" ht="12.75">
      <c r="A32" s="4"/>
      <c r="B32" s="4"/>
      <c r="C32" s="4"/>
      <c r="D32" s="77" t="s">
        <v>76</v>
      </c>
      <c r="E32" s="4"/>
      <c r="F32" s="4"/>
      <c r="G32" s="4"/>
      <c r="H32" s="4"/>
      <c r="I32" s="4"/>
    </row>
    <row r="33" spans="1:9" ht="12.75">
      <c r="A33" s="4"/>
      <c r="B33" s="4"/>
      <c r="C33" s="4"/>
      <c r="D33" s="77" t="s">
        <v>77</v>
      </c>
      <c r="E33" s="77" t="s">
        <v>268</v>
      </c>
      <c r="F33" s="4"/>
      <c r="G33" s="4"/>
      <c r="H33" s="4"/>
      <c r="I33" s="4"/>
    </row>
    <row r="34" spans="1:9" ht="12.75">
      <c r="A34" s="77" t="s">
        <v>64</v>
      </c>
      <c r="B34" s="4"/>
      <c r="C34" s="4"/>
      <c r="D34" s="77" t="s">
        <v>65</v>
      </c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77" t="s">
        <v>269</v>
      </c>
      <c r="B36" s="4"/>
      <c r="C36" s="4"/>
      <c r="D36" s="4">
        <f>760000/643612</f>
        <v>1.1808356587509246</v>
      </c>
      <c r="E36" s="4"/>
      <c r="F36" s="4"/>
      <c r="G36" s="4"/>
      <c r="H36" s="4"/>
      <c r="I36" s="4"/>
    </row>
    <row r="37" spans="1:9" ht="12.75">
      <c r="A37" s="77" t="s">
        <v>70</v>
      </c>
      <c r="B37" s="4"/>
      <c r="C37" s="4"/>
      <c r="D37" s="4"/>
      <c r="E37" s="4"/>
      <c r="F37" s="4"/>
      <c r="G37" s="4"/>
      <c r="H37" s="4"/>
      <c r="I37" s="4"/>
    </row>
    <row r="38" spans="1:9" ht="13.5" thickBot="1">
      <c r="A38" s="4"/>
      <c r="B38" s="4"/>
      <c r="C38" s="4"/>
      <c r="D38" s="4"/>
      <c r="E38" s="4"/>
      <c r="F38" s="4"/>
      <c r="G38" s="4"/>
      <c r="H38" s="4"/>
      <c r="I38" s="4"/>
    </row>
    <row r="39" spans="1:9" ht="13.5" thickBot="1">
      <c r="A39" s="77" t="s">
        <v>71</v>
      </c>
      <c r="B39" s="77" t="s">
        <v>78</v>
      </c>
      <c r="C39" s="4"/>
      <c r="D39" s="201" t="s">
        <v>316</v>
      </c>
      <c r="E39" s="202"/>
      <c r="F39" s="114" t="s">
        <v>152</v>
      </c>
      <c r="G39" s="203" t="s">
        <v>188</v>
      </c>
      <c r="H39" s="175" t="s">
        <v>189</v>
      </c>
      <c r="I39" s="4"/>
    </row>
    <row r="40" spans="1:9" ht="12.75">
      <c r="A40" s="4">
        <v>2</v>
      </c>
      <c r="B40" s="77" t="s">
        <v>72</v>
      </c>
      <c r="C40" s="4"/>
      <c r="D40" s="207" t="s">
        <v>159</v>
      </c>
      <c r="E40" s="59"/>
      <c r="F40" s="115"/>
      <c r="G40" s="204">
        <f>D68+D88+D67</f>
        <v>27670</v>
      </c>
      <c r="H40" s="118">
        <f>E57</f>
        <v>9330</v>
      </c>
      <c r="I40" s="4"/>
    </row>
    <row r="41" spans="1:9" ht="12.75">
      <c r="A41" s="4">
        <v>2</v>
      </c>
      <c r="B41" s="77" t="s">
        <v>73</v>
      </c>
      <c r="C41" s="4"/>
      <c r="D41" s="207" t="s">
        <v>99</v>
      </c>
      <c r="E41" s="59"/>
      <c r="F41" s="115">
        <f>D91</f>
        <v>0</v>
      </c>
      <c r="G41" s="205">
        <f>D91</f>
        <v>0</v>
      </c>
      <c r="H41" s="176"/>
      <c r="I41" s="4"/>
    </row>
    <row r="42" spans="1:9" ht="12.75">
      <c r="A42" s="4">
        <v>2</v>
      </c>
      <c r="B42" s="77" t="s">
        <v>74</v>
      </c>
      <c r="C42" s="4"/>
      <c r="D42" s="207" t="s">
        <v>100</v>
      </c>
      <c r="E42" s="59"/>
      <c r="F42" s="115"/>
      <c r="G42" s="205"/>
      <c r="H42" s="176"/>
      <c r="I42" s="4"/>
    </row>
    <row r="43" spans="1:9" ht="13.5" thickBot="1">
      <c r="A43" s="4">
        <v>5</v>
      </c>
      <c r="B43" s="77" t="s">
        <v>75</v>
      </c>
      <c r="C43" s="4"/>
      <c r="D43" s="208" t="s">
        <v>101</v>
      </c>
      <c r="E43" s="116"/>
      <c r="F43" s="117">
        <f>D72+D81+D82+D83+D84</f>
        <v>23000</v>
      </c>
      <c r="G43" s="205">
        <f>D82+D83+D86+D84+D72+D100+D102</f>
        <v>61261.9084</v>
      </c>
      <c r="H43" s="177"/>
      <c r="I43" s="4"/>
    </row>
    <row r="44" spans="1:9" ht="13.5" thickBot="1">
      <c r="A44" s="4"/>
      <c r="B44" s="4"/>
      <c r="C44" s="4"/>
      <c r="D44" s="209" t="s">
        <v>186</v>
      </c>
      <c r="E44" s="167"/>
      <c r="F44" s="174">
        <f>SUM(F40:F43)</f>
        <v>23000</v>
      </c>
      <c r="G44" s="206">
        <f>G40+G42+G43+G41</f>
        <v>88931.9084</v>
      </c>
      <c r="H44" s="174">
        <f>SUM(H40:H43)</f>
        <v>9330</v>
      </c>
      <c r="I44" s="4"/>
    </row>
    <row r="45" spans="1:9" ht="13.5" thickBot="1">
      <c r="A45" s="3" t="s">
        <v>86</v>
      </c>
      <c r="B45" s="4"/>
      <c r="C45" s="4"/>
      <c r="D45" s="210" t="s">
        <v>187</v>
      </c>
      <c r="E45" s="80"/>
      <c r="F45" s="173">
        <f>D74+D79+D91+D98+D56</f>
        <v>47000</v>
      </c>
      <c r="G45" s="437">
        <f>G44+H44</f>
        <v>98261.9084</v>
      </c>
      <c r="H45" s="177"/>
      <c r="I45" s="4"/>
    </row>
    <row r="46" spans="1:9" ht="13.5" thickBot="1">
      <c r="A46" s="3"/>
      <c r="B46" s="3"/>
      <c r="C46" s="3"/>
      <c r="D46" s="3" t="s">
        <v>388</v>
      </c>
      <c r="E46" s="3"/>
      <c r="F46" s="4"/>
      <c r="G46" s="4"/>
      <c r="H46" s="4"/>
      <c r="I46" s="4"/>
    </row>
    <row r="47" spans="1:9" ht="12.75">
      <c r="A47" s="242" t="s">
        <v>81</v>
      </c>
      <c r="B47" s="243"/>
      <c r="C47" s="244"/>
      <c r="D47" s="245"/>
      <c r="E47" s="246" t="s">
        <v>17</v>
      </c>
      <c r="F47" s="4"/>
      <c r="G47" s="4"/>
      <c r="H47" s="4"/>
      <c r="I47" s="4"/>
    </row>
    <row r="48" spans="1:9" ht="25.5">
      <c r="A48" s="247" t="s">
        <v>82</v>
      </c>
      <c r="B48" s="92"/>
      <c r="C48" s="148"/>
      <c r="D48" s="147">
        <v>2000</v>
      </c>
      <c r="E48" s="248" t="s">
        <v>18</v>
      </c>
      <c r="F48" s="627"/>
      <c r="G48" s="627"/>
      <c r="H48" s="627"/>
      <c r="I48" s="238"/>
    </row>
    <row r="49" spans="1:9" ht="25.5">
      <c r="A49" s="247" t="s">
        <v>83</v>
      </c>
      <c r="B49" s="92"/>
      <c r="C49" s="148"/>
      <c r="D49" s="147"/>
      <c r="E49" s="248" t="s">
        <v>184</v>
      </c>
      <c r="F49" s="237"/>
      <c r="G49" s="237"/>
      <c r="H49" s="239"/>
      <c r="I49" s="240"/>
    </row>
    <row r="50" spans="1:9" ht="25.5">
      <c r="A50" s="247" t="s">
        <v>183</v>
      </c>
      <c r="B50" s="92"/>
      <c r="C50" s="148"/>
      <c r="D50" s="147">
        <f>450+380</f>
        <v>830</v>
      </c>
      <c r="E50" s="248" t="s">
        <v>307</v>
      </c>
      <c r="F50" s="627"/>
      <c r="G50" s="627"/>
      <c r="H50" s="239"/>
      <c r="I50" s="238"/>
    </row>
    <row r="51" spans="1:9" ht="12.75">
      <c r="A51" s="247"/>
      <c r="B51" s="92"/>
      <c r="C51" s="93"/>
      <c r="D51" s="149"/>
      <c r="E51" s="249" t="s">
        <v>17</v>
      </c>
      <c r="F51" s="627"/>
      <c r="G51" s="627"/>
      <c r="H51" s="627"/>
      <c r="I51" s="240"/>
    </row>
    <row r="52" spans="1:9" ht="25.5">
      <c r="A52" s="247" t="s">
        <v>84</v>
      </c>
      <c r="B52" s="92"/>
      <c r="C52" s="148"/>
      <c r="D52" s="147"/>
      <c r="E52" s="248" t="s">
        <v>184</v>
      </c>
      <c r="F52" s="237"/>
      <c r="G52" s="237"/>
      <c r="H52" s="237"/>
      <c r="I52" s="238"/>
    </row>
    <row r="53" spans="1:9" ht="12.75">
      <c r="A53" s="247"/>
      <c r="B53" s="92"/>
      <c r="C53" s="93"/>
      <c r="D53" s="150"/>
      <c r="E53" s="249" t="s">
        <v>17</v>
      </c>
      <c r="F53" s="237"/>
      <c r="G53" s="237"/>
      <c r="H53" s="237"/>
      <c r="I53" s="241"/>
    </row>
    <row r="54" spans="1:9" ht="25.5">
      <c r="A54" s="247" t="s">
        <v>315</v>
      </c>
      <c r="B54" s="92"/>
      <c r="C54" s="93"/>
      <c r="D54" s="147">
        <v>6500</v>
      </c>
      <c r="E54" s="248" t="s">
        <v>184</v>
      </c>
      <c r="F54" s="4"/>
      <c r="G54" s="4"/>
      <c r="H54" s="4"/>
      <c r="I54" s="4"/>
    </row>
    <row r="55" spans="1:9" ht="26.25" thickBot="1">
      <c r="A55" s="212" t="s">
        <v>85</v>
      </c>
      <c r="B55" s="250"/>
      <c r="C55" s="251"/>
      <c r="D55" s="252"/>
      <c r="E55" s="253" t="s">
        <v>18</v>
      </c>
      <c r="F55" s="4"/>
      <c r="G55" s="4"/>
      <c r="H55" s="4"/>
      <c r="I55" s="4"/>
    </row>
    <row r="56" spans="1:9" ht="13.5" thickBot="1">
      <c r="A56" s="4"/>
      <c r="B56" s="4"/>
      <c r="C56" s="3" t="s">
        <v>132</v>
      </c>
      <c r="D56" s="168">
        <f>SUM(D48:D55)</f>
        <v>9330</v>
      </c>
      <c r="E56" s="119"/>
      <c r="F56" s="628" t="s">
        <v>185</v>
      </c>
      <c r="G56" s="4"/>
      <c r="H56" s="75"/>
      <c r="I56" s="4"/>
    </row>
    <row r="57" spans="1:9" ht="12.75">
      <c r="A57" s="88" t="s">
        <v>57</v>
      </c>
      <c r="B57" s="88"/>
      <c r="C57" s="88" t="s">
        <v>132</v>
      </c>
      <c r="D57" s="120"/>
      <c r="E57" s="123">
        <f>SUM(E58:E60)</f>
        <v>9330</v>
      </c>
      <c r="F57" s="629"/>
      <c r="G57" s="4"/>
      <c r="H57" s="75"/>
      <c r="I57" s="4"/>
    </row>
    <row r="58" spans="1:9" ht="11.25" customHeight="1">
      <c r="A58" s="145" t="s">
        <v>184</v>
      </c>
      <c r="B58" s="145"/>
      <c r="C58" s="145"/>
      <c r="D58" s="145"/>
      <c r="E58" s="169">
        <f>+D54+D52+D49</f>
        <v>6500</v>
      </c>
      <c r="F58" s="4"/>
      <c r="G58" s="4"/>
      <c r="H58" s="75"/>
      <c r="I58" s="4"/>
    </row>
    <row r="59" spans="1:9" ht="12.75">
      <c r="A59" s="145" t="str">
        <f>E48</f>
        <v>Trasferimenti correnti a Amministrazioni Pubbliche</v>
      </c>
      <c r="B59" s="122"/>
      <c r="C59" s="122"/>
      <c r="D59" s="122"/>
      <c r="E59" s="124">
        <f>D48+D55</f>
        <v>2000</v>
      </c>
      <c r="F59" s="4"/>
      <c r="G59" s="4"/>
      <c r="H59" s="4"/>
      <c r="I59" s="4"/>
    </row>
    <row r="60" spans="1:9" ht="15.75" customHeight="1">
      <c r="A60" s="638" t="s">
        <v>307</v>
      </c>
      <c r="B60" s="639"/>
      <c r="C60" s="639"/>
      <c r="D60" s="122"/>
      <c r="E60" s="124">
        <f>D50</f>
        <v>830</v>
      </c>
      <c r="F60" s="4"/>
      <c r="G60" s="4"/>
      <c r="H60" s="4"/>
      <c r="I60" s="4"/>
    </row>
    <row r="61" spans="1:9" ht="13.5" thickBot="1">
      <c r="A61" s="121" t="s">
        <v>87</v>
      </c>
      <c r="B61" s="121"/>
      <c r="C61" s="121"/>
      <c r="D61" s="121"/>
      <c r="E61" s="125"/>
      <c r="F61" s="4"/>
      <c r="G61" s="4"/>
      <c r="H61" s="4"/>
      <c r="I61" s="4"/>
    </row>
    <row r="62" spans="1:9" ht="13.5" thickBot="1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631" t="s">
        <v>88</v>
      </c>
      <c r="B63" s="632"/>
      <c r="C63" s="632"/>
      <c r="D63" s="632"/>
      <c r="E63" s="633"/>
      <c r="F63" s="4"/>
      <c r="G63" s="4"/>
      <c r="H63" s="4"/>
      <c r="I63" s="4"/>
    </row>
    <row r="64" spans="1:9" ht="13.5" thickBot="1">
      <c r="A64" s="126"/>
      <c r="B64" s="10"/>
      <c r="C64" s="127"/>
      <c r="D64" s="12"/>
      <c r="E64" s="146"/>
      <c r="F64" s="4"/>
      <c r="G64" s="4"/>
      <c r="H64" s="4"/>
      <c r="I64" s="4"/>
    </row>
    <row r="65" spans="1:9" ht="12.75">
      <c r="A65" s="128" t="s">
        <v>89</v>
      </c>
      <c r="B65" s="129"/>
      <c r="C65" s="130"/>
      <c r="D65" s="131">
        <v>2019</v>
      </c>
      <c r="E65" s="132"/>
      <c r="F65" s="4"/>
      <c r="G65" s="4"/>
      <c r="H65" s="4"/>
      <c r="I65" s="4"/>
    </row>
    <row r="66" spans="1:9" ht="12.75">
      <c r="A66" s="98"/>
      <c r="B66" s="30"/>
      <c r="C66" s="29"/>
      <c r="D66" s="31"/>
      <c r="E66" s="133"/>
      <c r="F66" s="4"/>
      <c r="G66" s="4"/>
      <c r="H66" s="4"/>
      <c r="I66" s="4"/>
    </row>
    <row r="67" spans="1:9" ht="12.75">
      <c r="A67" s="100" t="s">
        <v>389</v>
      </c>
      <c r="B67" s="30"/>
      <c r="C67" s="29"/>
      <c r="D67" s="34">
        <f>2000+60000-54330</f>
        <v>7670</v>
      </c>
      <c r="E67" s="134" t="s">
        <v>72</v>
      </c>
      <c r="F67" s="4"/>
      <c r="G67" s="4"/>
      <c r="H67" s="4"/>
      <c r="I67" s="4"/>
    </row>
    <row r="68" spans="1:9" ht="12.75">
      <c r="A68" s="100"/>
      <c r="B68" s="30"/>
      <c r="C68" s="211"/>
      <c r="D68" s="34">
        <v>10000</v>
      </c>
      <c r="E68" s="134" t="s">
        <v>72</v>
      </c>
      <c r="F68" s="77"/>
      <c r="G68" s="4"/>
      <c r="H68" s="4"/>
      <c r="I68" s="4"/>
    </row>
    <row r="69" spans="1:9" ht="12.75">
      <c r="A69" s="100"/>
      <c r="B69" s="30"/>
      <c r="C69" s="29"/>
      <c r="D69" s="34"/>
      <c r="E69" s="134"/>
      <c r="F69" s="77"/>
      <c r="G69" s="4"/>
      <c r="H69" s="4"/>
      <c r="I69" s="4"/>
    </row>
    <row r="70" spans="1:9" ht="12.75">
      <c r="A70" s="101"/>
      <c r="B70" s="30"/>
      <c r="C70" s="29"/>
      <c r="D70" s="90"/>
      <c r="E70" s="135"/>
      <c r="F70" s="4"/>
      <c r="G70" s="4"/>
      <c r="H70" s="4"/>
      <c r="I70" s="4"/>
    </row>
    <row r="71" spans="1:9" ht="12.75">
      <c r="A71" s="100"/>
      <c r="B71" s="30"/>
      <c r="C71" s="29"/>
      <c r="D71" s="34"/>
      <c r="E71" s="134"/>
      <c r="F71" s="4"/>
      <c r="G71" s="75">
        <f>D79+D74+D56</f>
        <v>47000</v>
      </c>
      <c r="H71" s="4"/>
      <c r="I71" s="4"/>
    </row>
    <row r="72" spans="1:9" ht="12.75">
      <c r="A72" s="100" t="s">
        <v>90</v>
      </c>
      <c r="B72" s="30"/>
      <c r="C72" s="29"/>
      <c r="D72" s="34">
        <v>20000</v>
      </c>
      <c r="E72" s="134" t="s">
        <v>91</v>
      </c>
      <c r="F72" s="4"/>
      <c r="G72" s="4"/>
      <c r="H72" s="4"/>
      <c r="I72" s="4"/>
    </row>
    <row r="73" spans="1:9" ht="12.75">
      <c r="A73" s="100"/>
      <c r="B73" s="30"/>
      <c r="C73" s="29"/>
      <c r="D73" s="34"/>
      <c r="E73" s="134"/>
      <c r="F73" s="4"/>
      <c r="G73" s="75"/>
      <c r="H73" s="4"/>
      <c r="I73" s="4"/>
    </row>
    <row r="74" spans="1:9" ht="13.5" thickBot="1">
      <c r="A74" s="139" t="s">
        <v>132</v>
      </c>
      <c r="B74" s="136"/>
      <c r="C74" s="137"/>
      <c r="D74" s="141">
        <f>SUM(D67:D73)</f>
        <v>37670</v>
      </c>
      <c r="E74" s="138"/>
      <c r="F74" s="4"/>
      <c r="G74" s="4"/>
      <c r="H74" s="4"/>
      <c r="I74" s="4"/>
    </row>
    <row r="75" spans="1:9" ht="12.75">
      <c r="A75" s="631" t="s">
        <v>92</v>
      </c>
      <c r="B75" s="632"/>
      <c r="C75" s="632"/>
      <c r="D75" s="632"/>
      <c r="E75" s="633"/>
      <c r="F75" s="4"/>
      <c r="G75" s="4"/>
      <c r="H75" s="4"/>
      <c r="I75" s="4"/>
    </row>
    <row r="76" spans="1:9" ht="12.75">
      <c r="A76" s="98"/>
      <c r="B76" s="30"/>
      <c r="C76" s="29"/>
      <c r="D76" s="31"/>
      <c r="E76" s="133"/>
      <c r="F76" s="4"/>
      <c r="G76" s="4"/>
      <c r="H76" s="4"/>
      <c r="I76" s="4"/>
    </row>
    <row r="77" spans="1:9" ht="12.75">
      <c r="A77" s="99" t="s">
        <v>89</v>
      </c>
      <c r="B77" s="32"/>
      <c r="C77" s="33"/>
      <c r="D77" s="89">
        <v>2020</v>
      </c>
      <c r="E77" s="142"/>
      <c r="F77" s="4"/>
      <c r="H77" s="4"/>
      <c r="I77" s="4"/>
    </row>
    <row r="78" spans="1:9" ht="12.75">
      <c r="A78" s="98"/>
      <c r="B78" s="30"/>
      <c r="C78" s="29"/>
      <c r="D78" s="31"/>
      <c r="E78" s="133"/>
      <c r="F78" s="4"/>
      <c r="H78" s="4"/>
      <c r="I78" s="4"/>
    </row>
    <row r="79" spans="1:9" ht="12.75">
      <c r="A79" s="100" t="s">
        <v>93</v>
      </c>
      <c r="B79" s="30"/>
      <c r="C79" s="29"/>
      <c r="D79" s="34"/>
      <c r="E79" s="134"/>
      <c r="F79" s="4"/>
      <c r="H79" s="4"/>
      <c r="I79" s="4"/>
    </row>
    <row r="80" spans="1:9" ht="12.75">
      <c r="A80" s="97" t="s">
        <v>94</v>
      </c>
      <c r="B80" s="30"/>
      <c r="C80" s="29"/>
      <c r="D80" s="34"/>
      <c r="E80" s="134"/>
      <c r="F80" s="77">
        <f>54580+250000+25000+40000</f>
        <v>369580</v>
      </c>
      <c r="G80" s="4"/>
      <c r="H80" s="4"/>
      <c r="I80" s="4"/>
    </row>
    <row r="81" spans="1:9" ht="12.75">
      <c r="A81" s="97" t="s">
        <v>95</v>
      </c>
      <c r="B81" s="30"/>
      <c r="C81" s="29"/>
      <c r="D81" s="34"/>
      <c r="E81" s="134" t="s">
        <v>91</v>
      </c>
      <c r="F81" s="4"/>
      <c r="G81" s="4"/>
      <c r="H81" s="4"/>
      <c r="I81" s="4"/>
    </row>
    <row r="82" spans="1:9" ht="12.75">
      <c r="A82" s="97" t="s">
        <v>390</v>
      </c>
      <c r="B82" s="30"/>
      <c r="C82" s="29"/>
      <c r="D82" s="34">
        <v>1000</v>
      </c>
      <c r="E82" s="134" t="s">
        <v>91</v>
      </c>
      <c r="F82" s="4"/>
      <c r="G82" s="4"/>
      <c r="H82" s="4"/>
      <c r="I82" s="4"/>
    </row>
    <row r="83" spans="1:9" ht="12.75">
      <c r="A83" s="97" t="s">
        <v>391</v>
      </c>
      <c r="B83" s="30"/>
      <c r="C83" s="29"/>
      <c r="D83" s="34"/>
      <c r="E83" s="134" t="s">
        <v>91</v>
      </c>
      <c r="F83" s="4"/>
      <c r="G83" s="4"/>
      <c r="H83" s="4"/>
      <c r="I83" s="4"/>
    </row>
    <row r="84" spans="1:9" ht="12.75">
      <c r="A84" s="97" t="s">
        <v>96</v>
      </c>
      <c r="B84" s="30"/>
      <c r="C84" s="29"/>
      <c r="D84" s="34">
        <v>2000</v>
      </c>
      <c r="E84" s="134" t="s">
        <v>91</v>
      </c>
      <c r="F84" s="4"/>
      <c r="G84" s="4"/>
      <c r="H84" s="4"/>
      <c r="I84" s="4"/>
    </row>
    <row r="85" spans="2:9" ht="12.75">
      <c r="B85" s="30"/>
      <c r="C85" s="29"/>
      <c r="D85" s="34"/>
      <c r="E85" s="134"/>
      <c r="F85" s="4"/>
      <c r="G85" s="4"/>
      <c r="H85" s="4"/>
      <c r="I85" s="4"/>
    </row>
    <row r="86" spans="1:9" ht="12.75">
      <c r="A86" s="100" t="s">
        <v>190</v>
      </c>
      <c r="B86" s="30"/>
      <c r="C86" s="29"/>
      <c r="D86" s="34"/>
      <c r="E86" s="134"/>
      <c r="F86" s="4"/>
      <c r="G86" s="4"/>
      <c r="H86" s="4"/>
      <c r="I86" s="4"/>
    </row>
    <row r="87" spans="1:9" ht="12.75">
      <c r="A87" s="97" t="s">
        <v>97</v>
      </c>
      <c r="B87" s="30"/>
      <c r="C87" s="29"/>
      <c r="D87" s="34"/>
      <c r="E87" s="134"/>
      <c r="F87" s="4"/>
      <c r="G87" s="4"/>
      <c r="H87" s="4"/>
      <c r="I87" s="4"/>
    </row>
    <row r="88" spans="1:9" ht="12.75">
      <c r="A88" s="97" t="s">
        <v>392</v>
      </c>
      <c r="B88" s="30"/>
      <c r="C88" s="29"/>
      <c r="D88" s="34">
        <v>10000</v>
      </c>
      <c r="E88" s="134" t="s">
        <v>72</v>
      </c>
      <c r="F88" s="4"/>
      <c r="G88" s="4"/>
      <c r="H88" s="4"/>
      <c r="I88" s="4"/>
    </row>
    <row r="89" spans="1:9" ht="12.75">
      <c r="A89" s="103"/>
      <c r="B89" s="30"/>
      <c r="C89" s="29"/>
      <c r="D89" s="34"/>
      <c r="E89" s="134"/>
      <c r="F89" s="4"/>
      <c r="G89" s="4"/>
      <c r="H89" s="4"/>
      <c r="I89" s="4"/>
    </row>
    <row r="90" spans="1:9" ht="12.75">
      <c r="A90" s="97"/>
      <c r="B90" s="30"/>
      <c r="C90" s="29"/>
      <c r="D90" s="158"/>
      <c r="E90" s="134" t="s">
        <v>72</v>
      </c>
      <c r="F90" s="4"/>
      <c r="G90" s="4"/>
      <c r="H90" s="4"/>
      <c r="I90" s="4"/>
    </row>
    <row r="91" spans="1:9" ht="12.75">
      <c r="A91" s="93" t="s">
        <v>164</v>
      </c>
      <c r="B91" s="34"/>
      <c r="C91" s="134"/>
      <c r="D91" s="172"/>
      <c r="E91" s="133" t="s">
        <v>363</v>
      </c>
      <c r="G91" s="4"/>
      <c r="H91" s="4"/>
      <c r="I91" s="4"/>
    </row>
    <row r="92" spans="1:9" ht="12.75">
      <c r="A92" s="104"/>
      <c r="B92" s="30"/>
      <c r="C92" s="29"/>
      <c r="D92" s="158"/>
      <c r="E92" s="170"/>
      <c r="F92" s="4"/>
      <c r="G92" s="4"/>
      <c r="H92" s="4"/>
      <c r="I92" s="4"/>
    </row>
    <row r="93" spans="1:9" ht="12.75">
      <c r="A93" s="97"/>
      <c r="B93" s="30"/>
      <c r="C93" s="29"/>
      <c r="D93" s="158"/>
      <c r="E93" s="170"/>
      <c r="F93" s="4"/>
      <c r="G93" s="4"/>
      <c r="H93" s="4"/>
      <c r="I93" s="4"/>
    </row>
    <row r="94" spans="1:9" ht="12.75">
      <c r="A94" s="97"/>
      <c r="B94" s="30"/>
      <c r="C94" s="29"/>
      <c r="D94" s="158"/>
      <c r="E94" s="170"/>
      <c r="F94" s="4"/>
      <c r="G94" s="4"/>
      <c r="H94" s="4"/>
      <c r="I94" s="4"/>
    </row>
    <row r="95" spans="1:9" ht="12.75">
      <c r="A95" s="104" t="s">
        <v>393</v>
      </c>
      <c r="B95" s="30"/>
      <c r="C95" s="211" t="s">
        <v>394</v>
      </c>
      <c r="D95" s="158"/>
      <c r="E95" s="170"/>
      <c r="F95" s="4"/>
      <c r="G95" s="4"/>
      <c r="H95" s="4"/>
      <c r="I95" s="4"/>
    </row>
    <row r="96" spans="1:9" ht="12.75">
      <c r="A96" s="104"/>
      <c r="B96" s="92"/>
      <c r="C96" s="93"/>
      <c r="D96" s="35"/>
      <c r="E96" s="170" t="s">
        <v>91</v>
      </c>
      <c r="F96" s="4"/>
      <c r="G96" s="4"/>
      <c r="H96" s="4"/>
      <c r="I96" s="4"/>
    </row>
    <row r="97" spans="1:9" ht="12.75">
      <c r="A97" s="98"/>
      <c r="B97" s="30"/>
      <c r="C97" s="29"/>
      <c r="D97" s="158"/>
      <c r="E97" s="171"/>
      <c r="F97" s="4"/>
      <c r="G97" s="4"/>
      <c r="H97" s="4"/>
      <c r="I97" s="4"/>
    </row>
    <row r="98" spans="1:9" ht="12.75">
      <c r="A98" s="102" t="s">
        <v>163</v>
      </c>
      <c r="B98" s="30"/>
      <c r="C98" s="29"/>
      <c r="D98" s="158"/>
      <c r="E98" s="171" t="s">
        <v>72</v>
      </c>
      <c r="F98" s="4"/>
      <c r="G98" s="4"/>
      <c r="H98" s="4"/>
      <c r="I98" s="4"/>
    </row>
    <row r="99" spans="1:9" ht="12.75">
      <c r="A99" s="100"/>
      <c r="B99" s="30"/>
      <c r="C99" s="29"/>
      <c r="D99" s="31"/>
      <c r="E99" s="134"/>
      <c r="F99" s="4"/>
      <c r="G99" s="4"/>
      <c r="H99" s="4"/>
      <c r="I99" s="4"/>
    </row>
    <row r="100" spans="1:9" ht="12.75">
      <c r="A100" s="102" t="s">
        <v>395</v>
      </c>
      <c r="B100" s="28"/>
      <c r="C100" s="211"/>
      <c r="D100" s="531">
        <f>'Preventivo 2020'!H51</f>
        <v>38261.9084</v>
      </c>
      <c r="E100" s="134" t="s">
        <v>91</v>
      </c>
      <c r="F100" s="4"/>
      <c r="G100" s="4"/>
      <c r="H100" s="4"/>
      <c r="I100" s="4"/>
    </row>
    <row r="101" spans="1:9" ht="12.75">
      <c r="A101" s="100"/>
      <c r="B101" s="28"/>
      <c r="C101" s="211"/>
      <c r="D101" s="31"/>
      <c r="E101" s="133"/>
      <c r="F101" s="4"/>
      <c r="G101" s="4"/>
      <c r="H101" s="4"/>
      <c r="I101" s="4"/>
    </row>
    <row r="102" spans="1:9" ht="12.75">
      <c r="A102" s="102" t="s">
        <v>98</v>
      </c>
      <c r="B102" s="28"/>
      <c r="C102" s="211"/>
      <c r="D102" s="91"/>
      <c r="E102" s="134" t="s">
        <v>91</v>
      </c>
      <c r="F102" s="4"/>
      <c r="G102" s="4"/>
      <c r="H102" s="4"/>
      <c r="I102" s="4"/>
    </row>
    <row r="103" spans="1:9" ht="12.75">
      <c r="A103" s="100"/>
      <c r="B103" s="28"/>
      <c r="C103" s="211"/>
      <c r="D103" s="31"/>
      <c r="E103" s="133"/>
      <c r="F103" s="4"/>
      <c r="G103" s="4"/>
      <c r="H103" s="4"/>
      <c r="I103" s="4"/>
    </row>
    <row r="104" spans="1:9" ht="13.5" thickBot="1">
      <c r="A104" s="212"/>
      <c r="B104" s="213"/>
      <c r="C104" s="214"/>
      <c r="D104" s="140"/>
      <c r="E104" s="143" t="s">
        <v>73</v>
      </c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215" t="s">
        <v>292</v>
      </c>
      <c r="C107" s="216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</sheetData>
  <sheetProtection/>
  <mergeCells count="12">
    <mergeCell ref="F48:H48"/>
    <mergeCell ref="A60:C60"/>
    <mergeCell ref="F50:G50"/>
    <mergeCell ref="F51:H51"/>
    <mergeCell ref="F56:F57"/>
    <mergeCell ref="A5:I5"/>
    <mergeCell ref="A63:E63"/>
    <mergeCell ref="A75:E75"/>
    <mergeCell ref="A6:E6"/>
    <mergeCell ref="A14:E14"/>
    <mergeCell ref="A15:E15"/>
    <mergeCell ref="A7:F7"/>
  </mergeCells>
  <dataValidations count="1">
    <dataValidation type="list" allowBlank="1" showInputMessage="1" showErrorMessage="1" sqref="E104 E102 E99:E100 E75:E90 C91 E92:E96 E64:E73">
      <formula1>$F$2:$F$20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47" r:id="rId1"/>
  <rowBreaks count="1" manualBreakCount="1"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2" width="9.140625" style="442" customWidth="1"/>
    <col min="3" max="3" width="10.8515625" style="442" bestFit="1" customWidth="1"/>
    <col min="4" max="7" width="10.8515625" style="442" customWidth="1"/>
    <col min="8" max="8" width="13.7109375" style="442" bestFit="1" customWidth="1"/>
    <col min="9" max="11" width="10.8515625" style="442" customWidth="1"/>
    <col min="12" max="16384" width="9.140625" style="442" customWidth="1"/>
  </cols>
  <sheetData>
    <row r="1" spans="1:13" ht="15.75">
      <c r="A1" s="441" t="s">
        <v>428</v>
      </c>
      <c r="L1" s="640"/>
      <c r="M1" s="641"/>
    </row>
    <row r="2" ht="12.75">
      <c r="A2" s="441" t="s">
        <v>429</v>
      </c>
    </row>
    <row r="4" ht="12.75">
      <c r="A4" s="443" t="s">
        <v>430</v>
      </c>
    </row>
    <row r="6" spans="1:11" ht="12.75">
      <c r="A6" s="444" t="s">
        <v>92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</row>
    <row r="8" spans="1:11" ht="12.75">
      <c r="A8" s="446" t="s">
        <v>89</v>
      </c>
      <c r="B8" s="447"/>
      <c r="C8" s="448"/>
      <c r="D8" s="448">
        <v>2020</v>
      </c>
      <c r="E8" s="448">
        <v>2018</v>
      </c>
      <c r="F8" s="448">
        <v>2017</v>
      </c>
      <c r="G8" s="448">
        <v>2016</v>
      </c>
      <c r="H8" s="448" t="s">
        <v>431</v>
      </c>
      <c r="I8" s="448">
        <v>2015</v>
      </c>
      <c r="J8" s="448">
        <v>2014</v>
      </c>
      <c r="K8" s="448">
        <v>2013</v>
      </c>
    </row>
    <row r="9" spans="1:11" ht="12.75">
      <c r="A9" s="449"/>
      <c r="B9" s="450"/>
      <c r="C9" s="451"/>
      <c r="D9" s="451"/>
      <c r="E9" s="451"/>
      <c r="F9" s="451"/>
      <c r="G9" s="451"/>
      <c r="H9" s="451"/>
      <c r="I9" s="451"/>
      <c r="J9" s="451"/>
      <c r="K9" s="451"/>
    </row>
    <row r="10" spans="1:11" ht="12.75">
      <c r="A10" s="449" t="s">
        <v>432</v>
      </c>
      <c r="B10" s="450"/>
      <c r="C10" s="451"/>
      <c r="D10" s="451"/>
      <c r="E10" s="451"/>
      <c r="F10" s="452">
        <v>0</v>
      </c>
      <c r="G10" s="452"/>
      <c r="H10" s="452"/>
      <c r="I10" s="453"/>
      <c r="J10" s="453">
        <f>90*7*8+2000</f>
        <v>7040</v>
      </c>
      <c r="K10" s="453">
        <f>90*7*8+2000</f>
        <v>7040</v>
      </c>
    </row>
    <row r="11" spans="1:11" ht="12.75">
      <c r="A11" s="449" t="s">
        <v>433</v>
      </c>
      <c r="B11" s="450"/>
      <c r="C11" s="451"/>
      <c r="D11" s="29">
        <v>25000</v>
      </c>
      <c r="E11" s="453">
        <f>1500+8700</f>
        <v>10200</v>
      </c>
      <c r="F11" s="452">
        <f>G11</f>
        <v>8700</v>
      </c>
      <c r="G11" s="452">
        <f>I11+1200</f>
        <v>8700</v>
      </c>
      <c r="H11" s="452"/>
      <c r="I11" s="453">
        <v>7500</v>
      </c>
      <c r="J11" s="453">
        <v>9000</v>
      </c>
      <c r="K11" s="453">
        <v>9000</v>
      </c>
    </row>
    <row r="12" spans="1:11" ht="12.75">
      <c r="A12" s="449" t="s">
        <v>434</v>
      </c>
      <c r="B12" s="450"/>
      <c r="C12" s="451"/>
      <c r="D12" s="29"/>
      <c r="E12" s="453">
        <v>9800</v>
      </c>
      <c r="F12" s="452">
        <f>G12</f>
        <v>9180</v>
      </c>
      <c r="G12" s="452">
        <f>15300*0.6</f>
        <v>9180</v>
      </c>
      <c r="H12" s="452"/>
      <c r="I12" s="453">
        <f>G12</f>
        <v>9180</v>
      </c>
      <c r="J12" s="453">
        <v>15300</v>
      </c>
      <c r="K12" s="453">
        <v>15300</v>
      </c>
    </row>
    <row r="13" spans="1:11" ht="12.75">
      <c r="A13" s="449" t="s">
        <v>435</v>
      </c>
      <c r="B13" s="450"/>
      <c r="C13" s="451"/>
      <c r="D13" s="29">
        <v>15000</v>
      </c>
      <c r="E13" s="453">
        <v>12600</v>
      </c>
      <c r="F13" s="452">
        <f>G13+1500</f>
        <v>14000</v>
      </c>
      <c r="G13" s="452">
        <f>I13</f>
        <v>12500</v>
      </c>
      <c r="H13" s="452"/>
      <c r="I13" s="453">
        <v>12500</v>
      </c>
      <c r="J13" s="453">
        <v>12500</v>
      </c>
      <c r="K13" s="453">
        <v>12500</v>
      </c>
    </row>
    <row r="14" spans="1:11" ht="12.75">
      <c r="A14" s="449"/>
      <c r="B14" s="450"/>
      <c r="C14" s="451"/>
      <c r="D14" s="451"/>
      <c r="E14" s="451"/>
      <c r="F14" s="451"/>
      <c r="G14" s="451"/>
      <c r="H14" s="451"/>
      <c r="I14" s="451"/>
      <c r="J14" s="451"/>
      <c r="K14" s="451"/>
    </row>
    <row r="15" spans="1:11" ht="12.75">
      <c r="A15" s="454" t="s">
        <v>132</v>
      </c>
      <c r="B15" s="450"/>
      <c r="C15" s="451"/>
      <c r="D15" s="455">
        <f>D11+D12+D13</f>
        <v>40000</v>
      </c>
      <c r="E15" s="455">
        <f aca="true" t="shared" si="0" ref="E15:K15">SUM(E10:E14)</f>
        <v>32600</v>
      </c>
      <c r="F15" s="455">
        <f t="shared" si="0"/>
        <v>31880</v>
      </c>
      <c r="G15" s="455">
        <f t="shared" si="0"/>
        <v>30380</v>
      </c>
      <c r="H15" s="455"/>
      <c r="I15" s="455">
        <f t="shared" si="0"/>
        <v>29180</v>
      </c>
      <c r="J15" s="455">
        <f t="shared" si="0"/>
        <v>43840</v>
      </c>
      <c r="K15" s="455">
        <f t="shared" si="0"/>
        <v>43840</v>
      </c>
    </row>
    <row r="16" spans="1:11" ht="12.75">
      <c r="A16" s="449"/>
      <c r="B16" s="450"/>
      <c r="C16" s="451"/>
      <c r="D16" s="451"/>
      <c r="E16" s="451"/>
      <c r="F16" s="451"/>
      <c r="G16" s="451"/>
      <c r="H16" s="451"/>
      <c r="I16" s="451"/>
      <c r="J16" s="451"/>
      <c r="K16" s="451"/>
    </row>
  </sheetData>
  <sheetProtection/>
  <mergeCells count="1">
    <mergeCell ref="L1:M1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77" zoomScaleNormal="77" workbookViewId="0" topLeftCell="A7">
      <selection activeCell="A34" sqref="A34"/>
    </sheetView>
  </sheetViews>
  <sheetFormatPr defaultColWidth="9.140625" defaultRowHeight="12.75"/>
  <cols>
    <col min="1" max="1" width="26.8515625" style="0" customWidth="1"/>
    <col min="2" max="2" width="26.7109375" style="0" customWidth="1"/>
    <col min="3" max="3" width="32.28125" style="0" customWidth="1"/>
    <col min="4" max="4" width="27.140625" style="0" customWidth="1"/>
    <col min="5" max="5" width="24.7109375" style="0" customWidth="1"/>
    <col min="6" max="6" width="23.57421875" style="0" customWidth="1"/>
    <col min="7" max="7" width="19.140625" style="0" customWidth="1"/>
    <col min="8" max="8" width="20.421875" style="0" customWidth="1"/>
    <col min="9" max="9" width="14.28125" style="0" customWidth="1"/>
    <col min="10" max="10" width="14.421875" style="0" bestFit="1" customWidth="1"/>
  </cols>
  <sheetData>
    <row r="1" spans="1:9" ht="13.5" thickBot="1">
      <c r="A1" s="54"/>
      <c r="B1" s="55"/>
      <c r="C1" s="645" t="s">
        <v>139</v>
      </c>
      <c r="D1" s="646"/>
      <c r="E1" s="646"/>
      <c r="F1" s="646"/>
      <c r="G1" s="646"/>
      <c r="H1" s="646"/>
      <c r="I1" s="647"/>
    </row>
    <row r="2" spans="1:9" ht="12.75">
      <c r="A2" s="56"/>
      <c r="B2" s="57"/>
      <c r="C2" s="4"/>
      <c r="D2" s="4"/>
      <c r="E2" s="4"/>
      <c r="F2" s="4"/>
      <c r="G2" s="4"/>
      <c r="H2" s="4"/>
      <c r="I2" s="57"/>
    </row>
    <row r="3" spans="1:9" ht="51">
      <c r="A3" s="58" t="s">
        <v>68</v>
      </c>
      <c r="B3" s="57"/>
      <c r="C3" s="53" t="s">
        <v>37</v>
      </c>
      <c r="D3" s="7" t="s">
        <v>38</v>
      </c>
      <c r="E3" s="7" t="s">
        <v>39</v>
      </c>
      <c r="F3" s="7" t="s">
        <v>40</v>
      </c>
      <c r="G3" s="7" t="s">
        <v>40</v>
      </c>
      <c r="H3" s="6" t="s">
        <v>41</v>
      </c>
      <c r="I3" s="70" t="s">
        <v>41</v>
      </c>
    </row>
    <row r="4" spans="1:9" ht="12.75">
      <c r="A4" s="56"/>
      <c r="B4" s="59" t="s">
        <v>140</v>
      </c>
      <c r="C4" s="4"/>
      <c r="D4" s="4"/>
      <c r="E4" s="4"/>
      <c r="F4" s="77" t="s">
        <v>270</v>
      </c>
      <c r="G4" s="4"/>
      <c r="H4" s="4"/>
      <c r="I4" s="57"/>
    </row>
    <row r="5" spans="1:9" ht="12.75">
      <c r="A5" s="60"/>
      <c r="B5" s="432">
        <f>'[15]PROGETTI'!$C$211</f>
        <v>3105665.768</v>
      </c>
      <c r="C5" s="23"/>
      <c r="D5" s="23"/>
      <c r="E5" s="23"/>
      <c r="F5" s="23"/>
      <c r="G5" s="23"/>
      <c r="H5" s="23"/>
      <c r="I5" s="71"/>
    </row>
    <row r="6" spans="1:9" ht="12.75">
      <c r="A6" s="299" t="s">
        <v>353</v>
      </c>
      <c r="B6" s="66">
        <v>250000</v>
      </c>
      <c r="C6" s="75">
        <f>$B$6*C8+(G7+F6)*0.5</f>
        <v>196374.74069605424</v>
      </c>
      <c r="D6" s="75">
        <f>$B$6*D8+(G7+F6)*0.25</f>
        <v>35800</v>
      </c>
      <c r="E6" s="75">
        <f>$B$6*E8+(G7+F6)*0.25</f>
        <v>59249.47742736264</v>
      </c>
      <c r="F6" s="75"/>
      <c r="G6" s="24"/>
      <c r="H6" s="77" t="s">
        <v>422</v>
      </c>
      <c r="I6" s="57"/>
    </row>
    <row r="7" spans="1:9" ht="12.75">
      <c r="A7" s="56"/>
      <c r="B7" s="76"/>
      <c r="C7" s="75">
        <f>'[15]PROGETTI'!$C$198+'[15]PROGETTI'!$C$199+'[15]PROGETTI'!$C$200+'[15]PROGETTI'!$C$201</f>
        <v>2461943.858</v>
      </c>
      <c r="D7" s="75">
        <f>'[15]PROGETTI'!$C$207+'[15]PROGETTI'!$C$208+'[15]PROGETTI'!$C$209+'[15]PROGETTI'!$C$210</f>
        <v>53226.91</v>
      </c>
      <c r="E7" s="75">
        <f>'[15]PROGETTI'!$C$194</f>
        <v>500495</v>
      </c>
      <c r="F7" s="4"/>
      <c r="G7" s="75">
        <f>'[15]PROGETTI'!$C$204</f>
        <v>90000</v>
      </c>
      <c r="H7" s="77" t="s">
        <v>384</v>
      </c>
      <c r="I7" s="57"/>
    </row>
    <row r="8" spans="1:9" ht="12.75">
      <c r="A8" s="58" t="s">
        <v>69</v>
      </c>
      <c r="B8" s="57"/>
      <c r="C8" s="85">
        <f>F48</f>
        <v>0.605498962784217</v>
      </c>
      <c r="D8" s="85">
        <f>F50</f>
        <v>0.0532</v>
      </c>
      <c r="E8" s="85">
        <f>F49</f>
        <v>0.14699790970945056</v>
      </c>
      <c r="F8" s="85">
        <f>F51</f>
        <v>0.0578</v>
      </c>
      <c r="G8" s="85">
        <f>F52</f>
        <v>0.1365031275063324</v>
      </c>
      <c r="H8" s="72"/>
      <c r="I8" s="57" t="e">
        <f>I5/$A$5</f>
        <v>#DIV/0!</v>
      </c>
    </row>
    <row r="9" spans="1:9" ht="12.75">
      <c r="A9" s="20" t="s">
        <v>468</v>
      </c>
      <c r="B9" s="57"/>
      <c r="C9" s="75"/>
      <c r="D9" s="75"/>
      <c r="E9" s="75"/>
      <c r="F9" s="4"/>
      <c r="G9" s="75">
        <v>4300</v>
      </c>
      <c r="H9" s="4"/>
      <c r="I9" s="57"/>
    </row>
    <row r="10" spans="1:9" ht="12.75">
      <c r="A10" s="62" t="s">
        <v>109</v>
      </c>
      <c r="B10" s="57"/>
      <c r="C10" s="73"/>
      <c r="D10" s="74"/>
      <c r="E10" s="74"/>
      <c r="F10" s="74"/>
      <c r="G10" s="74"/>
      <c r="H10" s="74"/>
      <c r="I10" s="57"/>
    </row>
    <row r="11" spans="1:9" ht="12.75">
      <c r="A11" s="63">
        <f>'Preventivo 2020'!H15+1</f>
        <v>1360443</v>
      </c>
      <c r="B11" s="319"/>
      <c r="C11" s="75">
        <f>C8*$A$11</f>
        <v>823746.8254270485</v>
      </c>
      <c r="D11" s="75">
        <f>D8*$A$11</f>
        <v>72375.5676</v>
      </c>
      <c r="E11" s="75">
        <f>E8*$A$11</f>
        <v>199982.27727885405</v>
      </c>
      <c r="F11" s="75">
        <f>F8*$A$11</f>
        <v>78633.6054</v>
      </c>
      <c r="G11" s="75">
        <f>G8*$A$11</f>
        <v>185704.72429409737</v>
      </c>
      <c r="H11" s="75"/>
      <c r="I11" s="57"/>
    </row>
    <row r="12" spans="1:9" ht="12.75">
      <c r="A12" s="64" t="s">
        <v>182</v>
      </c>
      <c r="B12" s="57"/>
      <c r="C12" s="75"/>
      <c r="D12" s="75"/>
      <c r="E12" s="75"/>
      <c r="F12" s="75"/>
      <c r="G12" s="75">
        <f>28441+4300</f>
        <v>32741</v>
      </c>
      <c r="H12" s="75">
        <f>H5+H11</f>
        <v>0</v>
      </c>
      <c r="I12" s="76"/>
    </row>
    <row r="13" spans="1:9" ht="12.75">
      <c r="A13" s="63">
        <f>4300+28441</f>
        <v>32741</v>
      </c>
      <c r="B13" s="153" t="s">
        <v>423</v>
      </c>
      <c r="C13" s="75">
        <v>85000</v>
      </c>
      <c r="D13" s="75"/>
      <c r="E13" s="75"/>
      <c r="F13" s="75"/>
      <c r="G13" s="75"/>
      <c r="H13" s="75"/>
      <c r="I13" s="57"/>
    </row>
    <row r="14" spans="1:9" ht="12.75">
      <c r="A14" s="62" t="s">
        <v>79</v>
      </c>
      <c r="B14" s="153" t="s">
        <v>424</v>
      </c>
      <c r="C14" s="73">
        <v>4000</v>
      </c>
      <c r="D14" s="4"/>
      <c r="E14" s="4"/>
      <c r="F14" s="77" t="s">
        <v>162</v>
      </c>
      <c r="G14" s="4"/>
      <c r="H14" s="4"/>
      <c r="I14" s="57"/>
    </row>
    <row r="15" spans="1:9" ht="12.75">
      <c r="A15" s="65">
        <f>'Preventivo 2020'!H70</f>
        <v>100</v>
      </c>
      <c r="B15" s="57"/>
      <c r="C15" s="73">
        <f>$A$15*C8</f>
        <v>60.5498962784217</v>
      </c>
      <c r="D15" s="73">
        <f>$A$15*D8</f>
        <v>5.319999999999999</v>
      </c>
      <c r="E15" s="73">
        <f>$A$15*E8</f>
        <v>14.699790970945056</v>
      </c>
      <c r="F15" s="73">
        <f>$A$15*F8</f>
        <v>5.779999999999999</v>
      </c>
      <c r="G15" s="73">
        <f>$A$15*G8</f>
        <v>13.650312750633239</v>
      </c>
      <c r="H15" s="73"/>
      <c r="I15" s="57" t="e">
        <f>$A$15*I8</f>
        <v>#DIV/0!</v>
      </c>
    </row>
    <row r="16" spans="1:9" ht="12.75">
      <c r="A16" s="62" t="s">
        <v>267</v>
      </c>
      <c r="B16" s="57"/>
      <c r="C16" s="73"/>
      <c r="D16" s="73"/>
      <c r="E16" s="73"/>
      <c r="F16" s="73"/>
      <c r="G16" s="73"/>
      <c r="H16" s="73"/>
      <c r="I16" s="57"/>
    </row>
    <row r="17" spans="1:9" ht="12.75">
      <c r="A17" s="68">
        <v>8000</v>
      </c>
      <c r="B17" s="57"/>
      <c r="C17" s="73"/>
      <c r="D17" s="73"/>
      <c r="E17" s="73">
        <v>8000</v>
      </c>
      <c r="F17" s="73"/>
      <c r="G17" s="73"/>
      <c r="H17" s="73"/>
      <c r="I17" s="57"/>
    </row>
    <row r="18" spans="1:9" ht="12.75">
      <c r="A18" s="68">
        <f>5422</f>
        <v>5422</v>
      </c>
      <c r="B18" s="57" t="s">
        <v>387</v>
      </c>
      <c r="C18" s="302">
        <f>128825</f>
        <v>128825</v>
      </c>
      <c r="D18" s="73"/>
      <c r="E18" s="73"/>
      <c r="F18" s="73"/>
      <c r="G18" s="73">
        <f>A18</f>
        <v>5422</v>
      </c>
      <c r="H18" s="73"/>
      <c r="I18" s="57"/>
    </row>
    <row r="19" spans="1:9" ht="12.75">
      <c r="A19">
        <v>5000</v>
      </c>
      <c r="B19" s="433" t="s">
        <v>421</v>
      </c>
      <c r="C19" s="4">
        <f>A19</f>
        <v>5000</v>
      </c>
      <c r="D19" s="4"/>
      <c r="E19" s="4"/>
      <c r="F19" s="4"/>
      <c r="G19" s="434"/>
      <c r="H19" s="4"/>
      <c r="I19" s="57"/>
    </row>
    <row r="20" spans="1:9" ht="12.75">
      <c r="A20" t="s">
        <v>465</v>
      </c>
      <c r="B20" s="57"/>
      <c r="C20" s="4"/>
      <c r="D20" s="4"/>
      <c r="E20" s="4"/>
      <c r="G20" s="4"/>
      <c r="H20" s="4"/>
      <c r="I20" s="57"/>
    </row>
    <row r="21" spans="1:9" ht="12.75">
      <c r="A21" s="299">
        <v>595000</v>
      </c>
      <c r="B21" s="57"/>
      <c r="C21" s="302">
        <f>A21</f>
        <v>595000</v>
      </c>
      <c r="D21" s="4"/>
      <c r="E21" s="4"/>
      <c r="F21" s="4"/>
      <c r="H21" s="4"/>
      <c r="I21" s="57"/>
    </row>
    <row r="22" spans="1:9" ht="13.5" thickBot="1">
      <c r="A22" s="234"/>
      <c r="B22" s="57"/>
      <c r="C22" s="75">
        <f>$A$22*C8</f>
        <v>0</v>
      </c>
      <c r="D22" s="75">
        <f>$A$22*D8</f>
        <v>0</v>
      </c>
      <c r="E22" s="75">
        <f>$A$22*E8</f>
        <v>0</v>
      </c>
      <c r="F22" s="75">
        <f>$A$22*F8</f>
        <v>0</v>
      </c>
      <c r="G22" s="75">
        <f>$A$22*G8</f>
        <v>0</v>
      </c>
      <c r="H22" s="75"/>
      <c r="I22" s="57"/>
    </row>
    <row r="23" spans="1:10" ht="13.5" thickBot="1">
      <c r="A23" s="304" t="s">
        <v>354</v>
      </c>
      <c r="B23" s="435">
        <f>A17+A18+A19+A15+A13+A11+'[11]Foglio1'!$C$443</f>
        <v>6014912.82</v>
      </c>
      <c r="C23" s="306">
        <f>C5+C6+C11+C15+C17+C22+C13+C19+C14+C7</f>
        <v>3576125.974019381</v>
      </c>
      <c r="D23" s="306">
        <f>D5+D6+D11+D15+D17+D22+D13+D7</f>
        <v>161407.7976</v>
      </c>
      <c r="E23" s="306">
        <f>E5+E6+E11+E15+E17+E22+E13+E7</f>
        <v>767741.4544971876</v>
      </c>
      <c r="F23" s="306">
        <f>+F11+F17+F22+F13+F6+F15-F15</f>
        <v>78633.6054</v>
      </c>
      <c r="G23" s="306">
        <f>C21+G18+G15+G11+G9+G7+G12</f>
        <v>913181.374606848</v>
      </c>
      <c r="H23" s="306"/>
      <c r="I23" s="305"/>
      <c r="J23" s="24">
        <f>B23-C23-D23-E23-F23-G23</f>
        <v>517822.6138765833</v>
      </c>
    </row>
    <row r="24" spans="1:9" ht="13.5" thickBot="1">
      <c r="A24" s="56"/>
      <c r="B24" s="57"/>
      <c r="C24" s="642" t="s">
        <v>138</v>
      </c>
      <c r="D24" s="643"/>
      <c r="E24" s="643"/>
      <c r="F24" s="643"/>
      <c r="G24" s="643"/>
      <c r="H24" s="643"/>
      <c r="I24" s="644"/>
    </row>
    <row r="25" spans="1:9" ht="12.75">
      <c r="A25" s="62" t="s">
        <v>355</v>
      </c>
      <c r="B25" s="57"/>
      <c r="C25" s="75">
        <f>E48</f>
        <v>377531.795</v>
      </c>
      <c r="D25" s="75">
        <f>E50</f>
        <v>0</v>
      </c>
      <c r="E25" s="75">
        <f>E49</f>
        <v>107536.585</v>
      </c>
      <c r="F25" s="75">
        <f>E51</f>
        <v>0</v>
      </c>
      <c r="G25" s="75">
        <f>E52</f>
        <v>90000</v>
      </c>
      <c r="H25" s="4"/>
      <c r="I25" s="57"/>
    </row>
    <row r="26" spans="1:9" ht="12.75">
      <c r="A26" s="58" t="s">
        <v>364</v>
      </c>
      <c r="B26" s="432">
        <f>'Preventivo 2020'!H29</f>
        <v>40000</v>
      </c>
      <c r="C26" s="4"/>
      <c r="D26" s="4"/>
      <c r="E26" s="4"/>
      <c r="F26" s="75"/>
      <c r="G26" s="4"/>
      <c r="H26" s="4"/>
      <c r="I26" s="57"/>
    </row>
    <row r="27" spans="1:9" ht="12.75">
      <c r="A27" s="303" t="s">
        <v>420</v>
      </c>
      <c r="B27" s="57">
        <v>100</v>
      </c>
      <c r="C27" s="73">
        <f>$B$27*C8</f>
        <v>60.5498962784217</v>
      </c>
      <c r="D27" s="73">
        <f>$B$27*D8</f>
        <v>5.319999999999999</v>
      </c>
      <c r="E27" s="73">
        <f>$B$27*E8</f>
        <v>14.699790970945056</v>
      </c>
      <c r="F27" s="73">
        <f>$B$27*F8</f>
        <v>5.779999999999999</v>
      </c>
      <c r="G27" s="73">
        <f>$B$27*G8+F27</f>
        <v>19.430312750633238</v>
      </c>
      <c r="H27" s="4"/>
      <c r="I27" s="57"/>
    </row>
    <row r="28" spans="1:9" ht="12.75">
      <c r="A28" s="300">
        <f>C48-E53-30000-85000</f>
        <v>805146.62</v>
      </c>
      <c r="B28" s="301"/>
      <c r="C28" s="436">
        <f>$A$28*C8+85000</f>
        <v>572515.4432992181</v>
      </c>
      <c r="D28" s="436">
        <f aca="true" t="shared" si="0" ref="D28:I28">$A$28*D8</f>
        <v>42833.800184</v>
      </c>
      <c r="E28" s="436">
        <f t="shared" si="0"/>
        <v>118354.8701496293</v>
      </c>
      <c r="F28" s="302">
        <f>$A$28*F8</f>
        <v>46537.474636</v>
      </c>
      <c r="G28" s="436">
        <f>$A$28*G8+F28</f>
        <v>156442.50636715256</v>
      </c>
      <c r="H28" s="73">
        <f t="shared" si="0"/>
        <v>0</v>
      </c>
      <c r="I28" s="66" t="e">
        <f t="shared" si="0"/>
        <v>#DIV/0!</v>
      </c>
    </row>
    <row r="29" spans="1:9" ht="12.75">
      <c r="A29" s="236"/>
      <c r="B29" s="57"/>
      <c r="C29" s="73"/>
      <c r="D29" s="73"/>
      <c r="E29" s="73"/>
      <c r="G29" s="73"/>
      <c r="H29" s="73"/>
      <c r="I29" s="66"/>
    </row>
    <row r="30" spans="1:9" ht="12.75">
      <c r="A30" s="434" t="s">
        <v>385</v>
      </c>
      <c r="B30" s="57"/>
      <c r="C30" s="538">
        <v>5576.12</v>
      </c>
      <c r="D30" s="73"/>
      <c r="E30" s="73"/>
      <c r="F30" s="73"/>
      <c r="H30" s="434" t="s">
        <v>484</v>
      </c>
      <c r="I30" s="66"/>
    </row>
    <row r="31" spans="1:9" ht="12.75">
      <c r="A31" s="58" t="s">
        <v>141</v>
      </c>
      <c r="B31" s="76">
        <f>A33-A35</f>
        <v>386395.55399999995</v>
      </c>
      <c r="C31" s="73"/>
      <c r="D31" s="73"/>
      <c r="E31" s="73"/>
      <c r="F31" s="73"/>
      <c r="G31" s="73"/>
      <c r="H31" s="73"/>
      <c r="I31" s="66"/>
    </row>
    <row r="32" spans="1:9" ht="12.75">
      <c r="A32" s="56" t="s">
        <v>103</v>
      </c>
      <c r="B32" s="153" t="s">
        <v>511</v>
      </c>
      <c r="C32" s="73"/>
      <c r="D32" s="73"/>
      <c r="E32" s="73"/>
      <c r="F32" s="77" t="s">
        <v>162</v>
      </c>
      <c r="G32" s="73"/>
      <c r="H32" s="73"/>
      <c r="I32" s="66"/>
    </row>
    <row r="33" spans="1:9" ht="12.75">
      <c r="A33" s="67">
        <f>'Preventivo 2020'!H32+'Preventivo 2020'!H33+'Preventivo 2020'!H34+'Preventivo 2020'!H49+'Preventivo 2020'!H51+-A42-Assumptions!G40-Assumptions!G43-60000*0.2+30000-32670</f>
        <v>411059.0999999999</v>
      </c>
      <c r="B33" s="57" t="s">
        <v>314</v>
      </c>
      <c r="C33" s="73">
        <f>C8*$A$33-C35</f>
        <v>233962.10717143287</v>
      </c>
      <c r="D33" s="73">
        <f>D8*$A$33-D35</f>
        <v>20556.243472799993</v>
      </c>
      <c r="E33" s="73">
        <f>E8*$A$33-E35</f>
        <v>56799.33875902512</v>
      </c>
      <c r="F33" s="302">
        <f>F8*$A$33</f>
        <v>23759.215979999994</v>
      </c>
      <c r="G33" s="73">
        <f>G8*$A$33+F33-G35</f>
        <v>75077.86459674193</v>
      </c>
      <c r="H33" s="73"/>
      <c r="I33" s="66" t="e">
        <f>I8*$A$33</f>
        <v>#DIV/0!</v>
      </c>
    </row>
    <row r="34" spans="1:9" ht="12.75">
      <c r="A34" s="68" t="s">
        <v>142</v>
      </c>
      <c r="B34" s="76">
        <f>'[15]PROGETTI'!$D$218+'[15]PROGETTI'!$E$218+'[15]PROGETTI'!$F$218+'[15]PROGETTI'!$H$218</f>
        <v>294531.04000000004</v>
      </c>
      <c r="C34" s="302"/>
      <c r="D34" s="73">
        <f>'[11]Foglio1'!$H$446-D36</f>
        <v>178029.92846016</v>
      </c>
      <c r="E34" s="73">
        <f>'[11]Foglio1'!$D$446-E36</f>
        <v>63659.136583263484</v>
      </c>
      <c r="F34" s="77" t="s">
        <v>162</v>
      </c>
      <c r="G34" s="73"/>
      <c r="H34" s="73"/>
      <c r="I34" s="66"/>
    </row>
    <row r="35" spans="1:9" ht="12.75">
      <c r="A35" s="65">
        <f>A33*0.06</f>
        <v>24663.545999999995</v>
      </c>
      <c r="B35" s="57" t="s">
        <v>303</v>
      </c>
      <c r="C35" s="75">
        <f>$A$35*C8</f>
        <v>14933.751521580822</v>
      </c>
      <c r="D35" s="75">
        <f>$A$35*D8</f>
        <v>1312.1006471999997</v>
      </c>
      <c r="E35" s="75">
        <f>$A$35*E8</f>
        <v>3625.4897080228798</v>
      </c>
      <c r="F35" s="439">
        <f>$A$35*F8</f>
        <v>1425.5529587999997</v>
      </c>
      <c r="G35" s="75">
        <f>$A$35*G8+F35</f>
        <v>4792.204123196293</v>
      </c>
      <c r="H35" s="4"/>
      <c r="I35" s="57"/>
    </row>
    <row r="36" spans="1:9" ht="12.75">
      <c r="A36" s="61">
        <f>B34*0.03</f>
        <v>8835.9312</v>
      </c>
      <c r="B36" s="153" t="s">
        <v>317</v>
      </c>
      <c r="C36" s="75">
        <f>$A$36*C8</f>
        <v>5350.147176832703</v>
      </c>
      <c r="D36" s="75">
        <f>$A$36*D8</f>
        <v>470.07153984</v>
      </c>
      <c r="E36" s="75">
        <f>$A$36*E8</f>
        <v>1298.8634167365174</v>
      </c>
      <c r="F36" s="75">
        <f>$A$36*F8</f>
        <v>510.71682336000003</v>
      </c>
      <c r="G36" s="75">
        <f>$A$36*G8+F36</f>
        <v>1716.8490665907807</v>
      </c>
      <c r="H36" s="4"/>
      <c r="I36" s="57"/>
    </row>
    <row r="37" spans="1:9" ht="12.75">
      <c r="A37" s="546" t="s">
        <v>508</v>
      </c>
      <c r="B37" s="153"/>
      <c r="C37" s="75">
        <f>'ripartizione partners 2020'!B80+'ripartizione partners 2020'!B81+'ripartizione partners 2020'!B82</f>
        <v>2268822.408</v>
      </c>
      <c r="D37" s="4">
        <f>'ripartizione partners 2020'!B87</f>
        <v>38713.89</v>
      </c>
      <c r="E37" s="548">
        <f>'ripartizione partners 2020'!C80+'ripartizione partners 2020'!C81+'ripartizione partners 2020'!C82</f>
        <v>339086.25</v>
      </c>
      <c r="F37" s="77" t="s">
        <v>304</v>
      </c>
      <c r="G37" s="73"/>
      <c r="H37" s="4"/>
      <c r="I37" s="57"/>
    </row>
    <row r="38" spans="1:9" ht="12.75">
      <c r="A38" s="235" t="s">
        <v>507</v>
      </c>
      <c r="B38" s="153" t="s">
        <v>174</v>
      </c>
      <c r="C38" s="73">
        <f>'[15]PROGETTI'!$E$218</f>
        <v>167430.38000000006</v>
      </c>
      <c r="D38" s="73"/>
      <c r="E38" s="73"/>
      <c r="F38" s="73"/>
      <c r="G38" s="73"/>
      <c r="H38" s="4"/>
      <c r="I38" s="57"/>
    </row>
    <row r="39" spans="1:9" ht="12.75">
      <c r="A39" s="235" t="s">
        <v>386</v>
      </c>
      <c r="B39" s="153"/>
      <c r="C39" s="73">
        <f>Assumptions!G40</f>
        <v>27670</v>
      </c>
      <c r="D39" s="73"/>
      <c r="E39" s="73"/>
      <c r="F39" s="24">
        <f>'B1.1'!D11+'B1.1'!D13+60000*0.2</f>
        <v>52000</v>
      </c>
      <c r="G39" s="73">
        <f>Assumptions!G43</f>
        <v>61261.9084</v>
      </c>
      <c r="H39" s="4"/>
      <c r="I39" s="57"/>
    </row>
    <row r="40" spans="1:9" ht="12.75">
      <c r="A40" s="235" t="s">
        <v>467</v>
      </c>
      <c r="B40" s="153"/>
      <c r="C40" s="73">
        <f>'[15]PROGETTI'!$E$216</f>
        <v>217278.745</v>
      </c>
      <c r="E40" s="73">
        <f>'[15]PROGETTI'!$D$216</f>
        <v>11769.415</v>
      </c>
      <c r="F40" s="73"/>
      <c r="G40" s="73"/>
      <c r="H40" s="4"/>
      <c r="I40" s="57"/>
    </row>
    <row r="41" spans="1:9" ht="12.75">
      <c r="A41" s="62" t="s">
        <v>102</v>
      </c>
      <c r="B41" s="76"/>
      <c r="C41" s="4"/>
      <c r="D41" s="4"/>
      <c r="E41" s="4"/>
      <c r="F41" s="77" t="s">
        <v>162</v>
      </c>
      <c r="G41" s="4"/>
      <c r="H41" s="4"/>
      <c r="I41" s="57"/>
    </row>
    <row r="42" spans="1:9" ht="12.75">
      <c r="A42" s="65">
        <v>70000</v>
      </c>
      <c r="B42" s="66"/>
      <c r="C42" s="73">
        <f>$A$42*C8</f>
        <v>42384.92739489519</v>
      </c>
      <c r="D42" s="73">
        <f>$A$42*D8</f>
        <v>3724</v>
      </c>
      <c r="E42" s="73">
        <f>$A$42*E8</f>
        <v>10289.853679661539</v>
      </c>
      <c r="F42" s="73">
        <f>$A$42*F8</f>
        <v>4046</v>
      </c>
      <c r="G42" s="73">
        <f>$A$42*G8+F42</f>
        <v>13601.218925443267</v>
      </c>
      <c r="H42" s="4"/>
      <c r="I42" s="57"/>
    </row>
    <row r="43" spans="1:9" ht="12.75">
      <c r="A43" s="236" t="s">
        <v>361</v>
      </c>
      <c r="B43" s="319">
        <f>30000</f>
        <v>30000</v>
      </c>
      <c r="C43" s="4"/>
      <c r="D43" s="4"/>
      <c r="E43" s="73">
        <f>B43</f>
        <v>30000</v>
      </c>
      <c r="F43" s="77" t="s">
        <v>162</v>
      </c>
      <c r="G43" s="73"/>
      <c r="H43" s="4"/>
      <c r="I43" s="57"/>
    </row>
    <row r="44" spans="1:9" ht="12.75">
      <c r="A44" s="236" t="s">
        <v>362</v>
      </c>
      <c r="B44" s="319">
        <f>'Preventivo 2020'!H50</f>
        <v>85000</v>
      </c>
      <c r="C44" s="73">
        <f>B44</f>
        <v>85000</v>
      </c>
      <c r="D44" s="4"/>
      <c r="E44" s="4"/>
      <c r="F44" s="77"/>
      <c r="G44" s="73"/>
      <c r="H44" s="4"/>
      <c r="I44" s="57"/>
    </row>
    <row r="45" spans="1:9" ht="12.75">
      <c r="A45" s="236" t="s">
        <v>466</v>
      </c>
      <c r="B45" s="559">
        <v>632592</v>
      </c>
      <c r="C45" s="302">
        <f>B45</f>
        <v>632592</v>
      </c>
      <c r="D45" s="274"/>
      <c r="E45" s="274"/>
      <c r="F45" s="440"/>
      <c r="H45" s="4"/>
      <c r="I45" s="57"/>
    </row>
    <row r="46" spans="1:10" ht="13.5" thickBot="1">
      <c r="A46" s="58" t="s">
        <v>132</v>
      </c>
      <c r="B46" s="57"/>
      <c r="C46" s="73">
        <f>SUM(C25:C45)</f>
        <v>4651108.374460238</v>
      </c>
      <c r="D46" s="73">
        <f>SUM(D25:D45)</f>
        <v>285645.354304</v>
      </c>
      <c r="E46" s="73">
        <f>SUM(E25:E44)</f>
        <v>742434.5020873098</v>
      </c>
      <c r="F46" s="532">
        <f>F25+F26+F39+F28</f>
        <v>98537.474636</v>
      </c>
      <c r="G46" s="73">
        <f>G25+G28+G33+G39+G42+C45+G36+G35</f>
        <v>1035484.5514791248</v>
      </c>
      <c r="H46" s="4"/>
      <c r="I46" s="57"/>
      <c r="J46" s="24">
        <f>C46+D46+E46+F46+G46</f>
        <v>6813210.256966672</v>
      </c>
    </row>
    <row r="47" spans="1:9" ht="12.75">
      <c r="A47" s="86" t="s">
        <v>129</v>
      </c>
      <c r="B47" s="87"/>
      <c r="C47" s="88" t="s">
        <v>449</v>
      </c>
      <c r="D47" s="88" t="s">
        <v>130</v>
      </c>
      <c r="E47" s="84"/>
      <c r="G47" s="88" t="s">
        <v>133</v>
      </c>
      <c r="H47" s="84"/>
      <c r="I47" s="55"/>
    </row>
    <row r="48" spans="1:9" ht="12.75">
      <c r="A48" s="56"/>
      <c r="B48" s="57"/>
      <c r="C48" s="78">
        <f>'[16]Preventivo 2020'!$H$30</f>
        <v>1495215</v>
      </c>
      <c r="D48" s="77" t="s">
        <v>72</v>
      </c>
      <c r="E48" s="75">
        <f>'[15]PROGETTI'!$E$215</f>
        <v>377531.795</v>
      </c>
      <c r="F48" s="74">
        <f>E48/E53-5.1%</f>
        <v>0.605498962784217</v>
      </c>
      <c r="H48" s="487"/>
      <c r="I48" s="72"/>
    </row>
    <row r="49" spans="1:9" ht="12.75">
      <c r="A49" s="56"/>
      <c r="B49" s="57"/>
      <c r="C49" s="78"/>
      <c r="D49" s="77" t="s">
        <v>73</v>
      </c>
      <c r="E49" s="355">
        <f>'[15]PROGETTI'!$D$215</f>
        <v>107536.585</v>
      </c>
      <c r="F49" s="74">
        <f>E49/E53-4%</f>
        <v>0.14699790970945056</v>
      </c>
      <c r="H49" s="96"/>
      <c r="I49" s="72"/>
    </row>
    <row r="50" spans="1:9" ht="12.75">
      <c r="A50" s="56"/>
      <c r="B50" s="57"/>
      <c r="C50" s="4"/>
      <c r="D50" s="77" t="s">
        <v>131</v>
      </c>
      <c r="E50" s="75">
        <f>'[15]PROGETTI'!$H$215</f>
        <v>0</v>
      </c>
      <c r="F50" s="74">
        <v>0.0532</v>
      </c>
      <c r="H50" s="4"/>
      <c r="I50" s="72"/>
    </row>
    <row r="51" spans="1:9" ht="12.75">
      <c r="A51" s="56"/>
      <c r="B51" s="57"/>
      <c r="C51" s="4"/>
      <c r="D51" s="151" t="s">
        <v>161</v>
      </c>
      <c r="E51" s="354"/>
      <c r="F51" s="74">
        <v>0.0578</v>
      </c>
      <c r="H51" s="4"/>
      <c r="I51" s="72"/>
    </row>
    <row r="52" spans="1:9" ht="12.75">
      <c r="A52" s="56"/>
      <c r="B52" s="57"/>
      <c r="C52" s="4"/>
      <c r="D52" s="77" t="s">
        <v>75</v>
      </c>
      <c r="E52" s="75">
        <f>'[15]PROGETTI'!$F$215</f>
        <v>90000</v>
      </c>
      <c r="F52" s="74">
        <f>E52/E53-2%</f>
        <v>0.1365031275063324</v>
      </c>
      <c r="H52" s="4"/>
      <c r="I52" s="72"/>
    </row>
    <row r="53" spans="1:9" ht="13.5" thickBot="1">
      <c r="A53" s="79"/>
      <c r="B53" s="69"/>
      <c r="C53" s="80"/>
      <c r="D53" s="81" t="s">
        <v>132</v>
      </c>
      <c r="E53" s="82">
        <f>SUM(E48:E52)</f>
        <v>575068.38</v>
      </c>
      <c r="F53" s="200">
        <f>SUM(F48:F52)</f>
        <v>1</v>
      </c>
      <c r="H53" s="80"/>
      <c r="I53" s="200"/>
    </row>
    <row r="54" spans="1:3" ht="12.75">
      <c r="A54" s="83"/>
      <c r="B54" s="84"/>
      <c r="C54" s="24"/>
    </row>
    <row r="55" spans="1:5" ht="12.75">
      <c r="A55" t="s">
        <v>426</v>
      </c>
      <c r="B55" s="24">
        <f>'Preventivo 2019'!H30+'Preventivo 2019'!H29+'Preventivo 2019'!H32+'Preventivo 2019'!H33+'Preventivo 2019'!H34+'Preventivo 2019'!H37+'Preventivo 2019'!H40+'Preventivo 2019'!H51+'Preventivo 2019'!H52+'Preventivo 2019'!H53+'Preventivo 2019'!H54+'Preventivo 2019'!H56+'Preventivo 2019'!H74</f>
        <v>2714017.5898763184</v>
      </c>
      <c r="C55" s="24">
        <f>A28+E53+B26+A33+B43+B44+A42+B45</f>
        <v>2648866.0999999996</v>
      </c>
      <c r="D55" s="24">
        <f>C55-B55</f>
        <v>-65151.48987631872</v>
      </c>
      <c r="E55" s="24"/>
    </row>
    <row r="56" spans="1:4" ht="12.75">
      <c r="A56" t="s">
        <v>427</v>
      </c>
      <c r="B56" s="24">
        <f>'[11]Foglio1'!$D$446+'[11]Foglio1'!$E$446+'[11]Foglio1'!$H$446</f>
        <v>1206712</v>
      </c>
      <c r="D56" s="24"/>
    </row>
    <row r="57" ht="12.75">
      <c r="C57" s="24"/>
    </row>
    <row r="58" spans="2:6" ht="12.75">
      <c r="B58" s="24">
        <f>SUM(B55:B57)</f>
        <v>3920729.5898763184</v>
      </c>
      <c r="C58" s="24">
        <f>J46-B58</f>
        <v>2892480.6670903536</v>
      </c>
      <c r="E58" s="24">
        <f>B34*0.03</f>
        <v>8835.9312</v>
      </c>
      <c r="F58" s="24">
        <f>B34-E58</f>
        <v>285695.10880000005</v>
      </c>
    </row>
    <row r="59" ht="12.75">
      <c r="C59" s="24"/>
    </row>
  </sheetData>
  <sheetProtection/>
  <mergeCells count="2">
    <mergeCell ref="C24:I24"/>
    <mergeCell ref="C1:I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pane ySplit="3" topLeftCell="A55" activePane="bottomLeft" state="frozen"/>
      <selection pane="topLeft" activeCell="D94" sqref="D94"/>
      <selection pane="bottomLeft" activeCell="D65" sqref="D65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75.57421875" style="0" hidden="1" customWidth="1"/>
    <col min="4" max="4" width="25.00390625" style="27" customWidth="1"/>
    <col min="6" max="6" width="12.8515625" style="0" bestFit="1" customWidth="1"/>
    <col min="7" max="7" width="11.28125" style="0" bestFit="1" customWidth="1"/>
  </cols>
  <sheetData>
    <row r="1" spans="1:4" ht="12.75">
      <c r="A1" s="567" t="s">
        <v>36</v>
      </c>
      <c r="B1" s="567"/>
      <c r="C1" s="567"/>
      <c r="D1" s="567"/>
    </row>
    <row r="2" spans="1:4" ht="12.75">
      <c r="A2" s="14"/>
      <c r="B2" s="648" t="s">
        <v>8</v>
      </c>
      <c r="C2" s="648"/>
      <c r="D2" s="648"/>
    </row>
    <row r="3" ht="25.5">
      <c r="D3" s="41" t="s">
        <v>111</v>
      </c>
    </row>
    <row r="4" ht="89.25">
      <c r="D4" s="46" t="s">
        <v>113</v>
      </c>
    </row>
    <row r="5" ht="25.5">
      <c r="D5" s="46" t="s">
        <v>110</v>
      </c>
    </row>
    <row r="6" spans="1:4" s="1" customFormat="1" ht="12.75">
      <c r="A6" s="3" t="s">
        <v>1</v>
      </c>
      <c r="B6" s="3" t="s">
        <v>0</v>
      </c>
      <c r="C6" s="3"/>
      <c r="D6" s="36" t="s">
        <v>6</v>
      </c>
    </row>
    <row r="7" spans="4:6" s="1" customFormat="1" ht="12.75">
      <c r="D7" s="37"/>
      <c r="F7" s="52">
        <f>'[2]TOTALI'!$A$9+'[2]TOTALI'!$A$11+'[2]TOTALI'!$A$12+'Ripartizione per totale '!C11+'Ripartizione per totale '!C15</f>
        <v>4196438.627596299</v>
      </c>
    </row>
    <row r="8" spans="1:7" s="1" customFormat="1" ht="12.75">
      <c r="A8" s="1" t="s">
        <v>43</v>
      </c>
      <c r="B8" s="220" t="s">
        <v>0</v>
      </c>
      <c r="C8" s="21"/>
      <c r="D8" s="462">
        <f>SUM(D9:D18)</f>
        <v>4205890.424123103</v>
      </c>
      <c r="F8" s="52">
        <f>'[2]TOTALI'!$A$9+'[2]TOTALI'!$A$11+'[2]TOTALI'!$A$12+'[2]Personale'!$B$11+'Ripartizione per totale '!C11+'Ripartizione per totale '!C15</f>
        <v>4416738.207596299</v>
      </c>
      <c r="G8" s="1" t="s">
        <v>136</v>
      </c>
    </row>
    <row r="9" ht="12.75">
      <c r="D9" s="457"/>
    </row>
    <row r="10" spans="1:7" ht="12.75">
      <c r="A10" t="s">
        <v>44</v>
      </c>
      <c r="B10" t="s">
        <v>26</v>
      </c>
      <c r="D10" s="457">
        <f>'[15]PROGETTI'!$C$200+'Ripartizione per totale '!C6+'Ripartizione per totale '!C11+'Ripartizione per totale '!A21</f>
        <v>2455657.904123103</v>
      </c>
      <c r="F10" s="24">
        <v>1860657</v>
      </c>
      <c r="G10" s="24">
        <f>D10-F10</f>
        <v>595000.9041231028</v>
      </c>
    </row>
    <row r="11" ht="12.75">
      <c r="D11" s="457"/>
    </row>
    <row r="12" spans="1:4" ht="12.75">
      <c r="A12" t="s">
        <v>44</v>
      </c>
      <c r="B12" t="s">
        <v>27</v>
      </c>
      <c r="D12" s="457">
        <f>'[15]PROGETTI'!$C$199</f>
        <v>136457.15</v>
      </c>
    </row>
    <row r="13" ht="12.75">
      <c r="D13" s="457"/>
    </row>
    <row r="14" spans="1:7" ht="12.75">
      <c r="A14" t="s">
        <v>44</v>
      </c>
      <c r="B14" t="s">
        <v>28</v>
      </c>
      <c r="D14" s="457">
        <f>'[15]PROGETTI'!$C$198+128825</f>
        <v>1613775.37</v>
      </c>
      <c r="F14">
        <f>1484950</f>
        <v>1484950</v>
      </c>
      <c r="G14" s="166">
        <f>D14-F14</f>
        <v>128825.37000000011</v>
      </c>
    </row>
    <row r="15" ht="12.75">
      <c r="D15" s="457"/>
    </row>
    <row r="16" ht="12.75">
      <c r="D16" s="457"/>
    </row>
    <row r="17" ht="12.75">
      <c r="D17" s="457"/>
    </row>
    <row r="18" spans="1:4" s="1" customFormat="1" ht="12.75">
      <c r="A18" s="1" t="s">
        <v>2</v>
      </c>
      <c r="B18" s="1" t="s">
        <v>3</v>
      </c>
      <c r="D18" s="458"/>
    </row>
    <row r="19" ht="12.75">
      <c r="D19" s="457"/>
    </row>
    <row r="20" spans="2:4" ht="12.75">
      <c r="B20" s="220" t="s">
        <v>4</v>
      </c>
      <c r="C20" s="21"/>
      <c r="D20" s="462">
        <f>SUM(D21:D25)</f>
        <v>94000</v>
      </c>
    </row>
    <row r="21" ht="12.75">
      <c r="D21" s="457"/>
    </row>
    <row r="22" spans="2:4" ht="12.75">
      <c r="B22" t="s">
        <v>29</v>
      </c>
      <c r="D22" s="457">
        <f>'Ripartizione per totale '!C19</f>
        <v>5000</v>
      </c>
    </row>
    <row r="23" ht="12.75">
      <c r="D23" s="457"/>
    </row>
    <row r="24" spans="2:4" ht="12.75">
      <c r="B24" t="s">
        <v>510</v>
      </c>
      <c r="D24" s="457">
        <f>'Ripartizione per totale '!C14+'Ripartizione per totale '!C13</f>
        <v>89000</v>
      </c>
    </row>
    <row r="25" spans="2:4" ht="12.75">
      <c r="B25" s="4"/>
      <c r="C25" s="4"/>
      <c r="D25" s="457"/>
    </row>
    <row r="26" spans="2:4" ht="12.75">
      <c r="B26" s="221" t="s">
        <v>5</v>
      </c>
      <c r="C26" s="22"/>
      <c r="D26" s="456">
        <f>SUM(D27:D30)</f>
        <v>60.5498962784217</v>
      </c>
    </row>
    <row r="27" ht="12.75">
      <c r="D27" s="457"/>
    </row>
    <row r="28" spans="2:4" ht="12.75">
      <c r="B28" t="s">
        <v>30</v>
      </c>
      <c r="D28" s="457">
        <f>'Ripartizione per totale '!C15</f>
        <v>60.5498962784217</v>
      </c>
    </row>
    <row r="29" ht="12.75">
      <c r="D29" s="457"/>
    </row>
    <row r="30" ht="12.75">
      <c r="D30" s="457"/>
    </row>
    <row r="31" spans="2:4" ht="12.75">
      <c r="B31" s="221" t="s">
        <v>7</v>
      </c>
      <c r="C31" s="22"/>
      <c r="D31" s="456">
        <f>SUM(D32:D35)</f>
        <v>0</v>
      </c>
    </row>
    <row r="32" ht="12.75">
      <c r="D32" s="457"/>
    </row>
    <row r="33" spans="2:4" ht="12.75">
      <c r="B33" t="s">
        <v>31</v>
      </c>
      <c r="D33" s="459"/>
    </row>
    <row r="34" ht="12.75">
      <c r="D34" s="459"/>
    </row>
    <row r="35" spans="2:4" ht="12.75">
      <c r="B35" t="s">
        <v>32</v>
      </c>
      <c r="D35" s="459"/>
    </row>
    <row r="36" ht="12.75">
      <c r="D36" s="459"/>
    </row>
    <row r="37" spans="2:4" ht="12.75">
      <c r="B37" s="222" t="s">
        <v>175</v>
      </c>
      <c r="D37" s="456">
        <f>SUM(D38:D41)</f>
        <v>0</v>
      </c>
    </row>
    <row r="38" ht="12.75">
      <c r="D38" s="459"/>
    </row>
    <row r="39" spans="2:4" ht="12.75">
      <c r="B39" s="20" t="s">
        <v>173</v>
      </c>
      <c r="D39" s="460">
        <f>'Ripartizione per totale '!C22</f>
        <v>0</v>
      </c>
    </row>
    <row r="40" ht="12.75">
      <c r="D40" s="459"/>
    </row>
    <row r="41" ht="12.75">
      <c r="D41" s="463"/>
    </row>
    <row r="42" spans="1:4" s="1" customFormat="1" ht="12.75">
      <c r="A42" s="2" t="s">
        <v>33</v>
      </c>
      <c r="B42" s="2"/>
      <c r="C42" s="2"/>
      <c r="D42" s="461">
        <f>D31+D26+D20+D8+D37</f>
        <v>4299950.974019381</v>
      </c>
    </row>
    <row r="43" ht="12.75">
      <c r="F43" s="166"/>
    </row>
    <row r="44" spans="1:4" ht="12.75">
      <c r="A44" s="649" t="s">
        <v>9</v>
      </c>
      <c r="B44" s="648"/>
      <c r="C44" s="648"/>
      <c r="D44" s="648"/>
    </row>
    <row r="46" ht="25.5">
      <c r="D46" s="41" t="s">
        <v>37</v>
      </c>
    </row>
    <row r="47" spans="1:4" ht="12.75">
      <c r="A47" s="1" t="s">
        <v>2</v>
      </c>
      <c r="B47" s="1" t="s">
        <v>10</v>
      </c>
      <c r="C47" s="1"/>
      <c r="D47" s="36" t="s">
        <v>6</v>
      </c>
    </row>
    <row r="48" ht="12.75">
      <c r="D48" s="42"/>
    </row>
    <row r="49" spans="2:6" ht="12.75">
      <c r="B49" s="221" t="s">
        <v>11</v>
      </c>
      <c r="C49" s="22"/>
      <c r="D49" s="456">
        <f>SUM(D50:D55)</f>
        <v>950047.238299218</v>
      </c>
      <c r="F49" s="24"/>
    </row>
    <row r="50" ht="12.75">
      <c r="D50" s="457"/>
    </row>
    <row r="51" spans="2:4" ht="12.75">
      <c r="B51" t="s">
        <v>15</v>
      </c>
      <c r="D51" s="26">
        <f>('Ripartizione per totale '!C25+'Ripartizione per totale '!C28)*0.7</f>
        <v>665033.0668094526</v>
      </c>
    </row>
    <row r="52" ht="12.75">
      <c r="D52" s="457"/>
    </row>
    <row r="53" spans="2:4" ht="12.75">
      <c r="B53" t="s">
        <v>14</v>
      </c>
      <c r="D53" s="457">
        <f>('Ripartizione per totale '!E48+'Ripartizione per totale '!C28)*0.3</f>
        <v>285014.1714897654</v>
      </c>
    </row>
    <row r="54" ht="12.75">
      <c r="D54" s="457"/>
    </row>
    <row r="55" ht="12.75">
      <c r="D55" s="457"/>
    </row>
    <row r="56" spans="2:4" ht="12.75">
      <c r="B56" s="221" t="s">
        <v>12</v>
      </c>
      <c r="C56" s="22"/>
      <c r="D56" s="456">
        <f>SUM(D57:D60)</f>
        <v>42384.92739489519</v>
      </c>
    </row>
    <row r="57" ht="12.75">
      <c r="D57" s="457"/>
    </row>
    <row r="58" spans="2:6" ht="12.75">
      <c r="B58" t="s">
        <v>16</v>
      </c>
      <c r="D58" s="457">
        <f>'Ripartizione per totale '!C42</f>
        <v>42384.92739489519</v>
      </c>
      <c r="F58" s="24"/>
    </row>
    <row r="59" ht="12.75">
      <c r="D59" s="457"/>
    </row>
    <row r="60" ht="12.75">
      <c r="D60" s="457"/>
    </row>
    <row r="61" spans="2:4" ht="12.75">
      <c r="B61" s="221" t="s">
        <v>13</v>
      </c>
      <c r="C61" s="22"/>
      <c r="D61" s="456">
        <f>SUM(D62:D66)</f>
        <v>1500338.1308698466</v>
      </c>
    </row>
    <row r="62" ht="12.75">
      <c r="D62" s="457"/>
    </row>
    <row r="63" spans="2:7" ht="12.75">
      <c r="B63" t="s">
        <v>17</v>
      </c>
      <c r="D63" s="26">
        <f>'Ripartizione per totale '!C33+'Ripartizione per totale '!C34+'Ripartizione per totale '!C39+'Ripartizione per totale '!C44+'Ripartizione per totale '!C40+'Ripartizione per totale '!C38+'Ripartizione per totale '!B45+116121</f>
        <v>1480054.232171433</v>
      </c>
      <c r="F63" s="24">
        <f>736639</f>
        <v>736639</v>
      </c>
      <c r="G63" s="24">
        <f>D63-F63</f>
        <v>743415.232171433</v>
      </c>
    </row>
    <row r="64" spans="4:7" ht="12.75">
      <c r="D64" s="457"/>
      <c r="G64" s="560">
        <f>'Ripartizione per totale '!B45</f>
        <v>632592</v>
      </c>
    </row>
    <row r="65" spans="2:7" ht="12.75">
      <c r="B65" t="s">
        <v>49</v>
      </c>
      <c r="D65" s="457">
        <f>'Ripartizione per totale '!C35+'Ripartizione per totale '!C36</f>
        <v>20283.898698413526</v>
      </c>
      <c r="F65" s="24"/>
      <c r="G65" s="24">
        <f>G63-G64</f>
        <v>110823.23217143305</v>
      </c>
    </row>
    <row r="66" spans="4:7" ht="12.75">
      <c r="D66" s="457"/>
      <c r="G66">
        <v>116121</v>
      </c>
    </row>
    <row r="67" spans="2:7" ht="12.75">
      <c r="B67" s="221" t="s">
        <v>0</v>
      </c>
      <c r="C67" s="22"/>
      <c r="D67" s="456">
        <f>SUM(D69:D75)</f>
        <v>2274398.528</v>
      </c>
      <c r="G67" s="24">
        <f>G65-G66</f>
        <v>-5297.7678285669535</v>
      </c>
    </row>
    <row r="68" ht="12.75">
      <c r="D68" s="457"/>
    </row>
    <row r="69" spans="2:4" ht="12.75">
      <c r="B69" t="s">
        <v>18</v>
      </c>
      <c r="D69" s="457">
        <f>'ripartizione partners 2020'!B80+'Ripartizione per totale '!C30</f>
        <v>722137.265</v>
      </c>
    </row>
    <row r="70" ht="12.75">
      <c r="D70" s="457"/>
    </row>
    <row r="71" spans="2:4" ht="12.75">
      <c r="B71" t="s">
        <v>19</v>
      </c>
      <c r="D71" s="457">
        <f>'ripartizione partners 2020'!B81</f>
        <v>416939.96299999993</v>
      </c>
    </row>
    <row r="72" ht="12.75">
      <c r="D72" s="457"/>
    </row>
    <row r="73" spans="2:6" ht="12.75">
      <c r="B73" t="s">
        <v>20</v>
      </c>
      <c r="D73" s="457"/>
      <c r="F73" s="24"/>
    </row>
    <row r="74" spans="4:6" ht="12.75">
      <c r="D74" s="457"/>
      <c r="F74" s="24"/>
    </row>
    <row r="75" spans="2:4" ht="12.75">
      <c r="B75" s="20" t="s">
        <v>291</v>
      </c>
      <c r="D75" s="457">
        <f>'ripartizione partners 2020'!B82</f>
        <v>1135321.3</v>
      </c>
    </row>
    <row r="76" spans="2:4" ht="12.75">
      <c r="B76" s="20"/>
      <c r="D76" s="457"/>
    </row>
    <row r="77" spans="2:4" ht="12.75">
      <c r="B77" s="221" t="s">
        <v>347</v>
      </c>
      <c r="C77" s="22"/>
      <c r="D77" s="456">
        <f>SUM(D78:D80)</f>
        <v>60.5498962784217</v>
      </c>
    </row>
    <row r="78" ht="12.75">
      <c r="D78" s="457"/>
    </row>
    <row r="79" spans="2:4" ht="12.75">
      <c r="B79" t="s">
        <v>348</v>
      </c>
      <c r="D79" s="457">
        <f>'Ripartizione per totale '!C27</f>
        <v>60.5498962784217</v>
      </c>
    </row>
    <row r="80" ht="12.75">
      <c r="D80" s="457"/>
    </row>
    <row r="81" spans="2:4" ht="12.75">
      <c r="B81" s="221" t="s">
        <v>21</v>
      </c>
      <c r="C81" s="22"/>
      <c r="D81" s="456">
        <f>SUM(D82:D87)</f>
        <v>0</v>
      </c>
    </row>
    <row r="82" ht="12.75">
      <c r="D82" s="457"/>
    </row>
    <row r="83" spans="2:4" ht="12.75">
      <c r="B83" s="20" t="s">
        <v>42</v>
      </c>
      <c r="D83" s="457"/>
    </row>
    <row r="84" ht="12.75">
      <c r="D84" s="457"/>
    </row>
    <row r="85" ht="12.75">
      <c r="D85" s="457"/>
    </row>
    <row r="86" spans="1:4" ht="12.75">
      <c r="A86" s="1" t="s">
        <v>2</v>
      </c>
      <c r="B86" s="1" t="s">
        <v>23</v>
      </c>
      <c r="C86" s="1"/>
      <c r="D86" s="458"/>
    </row>
    <row r="87" ht="12.75">
      <c r="D87" s="457"/>
    </row>
    <row r="88" spans="2:4" ht="12.75">
      <c r="B88" s="221" t="s">
        <v>24</v>
      </c>
      <c r="C88" s="22"/>
      <c r="D88" s="456">
        <f>SUM(D89:D94)</f>
        <v>0</v>
      </c>
    </row>
    <row r="89" ht="12.75">
      <c r="D89" s="457"/>
    </row>
    <row r="90" spans="2:4" ht="12.75">
      <c r="B90" t="s">
        <v>25</v>
      </c>
      <c r="D90" s="457"/>
    </row>
    <row r="91" ht="12.75">
      <c r="D91" s="459"/>
    </row>
    <row r="92" spans="2:4" ht="12.75">
      <c r="B92" t="s">
        <v>34</v>
      </c>
      <c r="D92" s="460"/>
    </row>
    <row r="93" ht="12.75">
      <c r="D93" s="459"/>
    </row>
    <row r="94" ht="12.75">
      <c r="D94" s="459"/>
    </row>
    <row r="95" spans="1:4" ht="12.75">
      <c r="A95" s="2" t="s">
        <v>35</v>
      </c>
      <c r="B95" s="11"/>
      <c r="C95" s="11"/>
      <c r="D95" s="461">
        <f>D88+D81+D67+D61+D56+D49+D77</f>
        <v>4767229.374460238</v>
      </c>
    </row>
    <row r="100" ht="12.75">
      <c r="B100" s="24"/>
    </row>
  </sheetData>
  <sheetProtection/>
  <mergeCells count="3">
    <mergeCell ref="A1:D1"/>
    <mergeCell ref="B2:D2"/>
    <mergeCell ref="A44:D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view="pageBreakPreview" zoomScale="115" zoomScaleSheetLayoutView="115" zoomScalePageLayoutView="0" workbookViewId="0" topLeftCell="A1">
      <pane ySplit="2" topLeftCell="A54" activePane="bottomLeft" state="frozen"/>
      <selection pane="topLeft" activeCell="D64" sqref="D64"/>
      <selection pane="bottomLeft" activeCell="C76" sqref="C76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25.00390625" style="27" customWidth="1"/>
    <col min="5" max="5" width="10.28125" style="0" bestFit="1" customWidth="1"/>
  </cols>
  <sheetData>
    <row r="1" spans="1:3" ht="12.75">
      <c r="A1" s="5"/>
      <c r="B1" s="650" t="s">
        <v>8</v>
      </c>
      <c r="C1" s="650"/>
    </row>
    <row r="2" ht="25.5">
      <c r="C2" s="47" t="s">
        <v>112</v>
      </c>
    </row>
    <row r="3" spans="3:5" ht="51">
      <c r="C3" s="47" t="s">
        <v>114</v>
      </c>
      <c r="E3" t="s">
        <v>137</v>
      </c>
    </row>
    <row r="4" ht="25.5">
      <c r="C4" s="46" t="s">
        <v>110</v>
      </c>
    </row>
    <row r="5" spans="1:3" s="1" customFormat="1" ht="12.75">
      <c r="A5" s="3" t="s">
        <v>1</v>
      </c>
      <c r="B5" s="3" t="s">
        <v>0</v>
      </c>
      <c r="C5" s="36" t="s">
        <v>6</v>
      </c>
    </row>
    <row r="6" s="1" customFormat="1" ht="12.75">
      <c r="C6" s="37"/>
    </row>
    <row r="7" spans="1:3" s="1" customFormat="1" ht="12.75">
      <c r="A7" s="464"/>
      <c r="B7" s="227" t="s">
        <v>0</v>
      </c>
      <c r="C7" s="462">
        <f>SUM(C8:C15)</f>
        <v>346402.4776</v>
      </c>
    </row>
    <row r="8" spans="1:3" ht="12.75">
      <c r="A8" s="166"/>
      <c r="B8" s="166"/>
      <c r="C8" s="459"/>
    </row>
    <row r="9" spans="1:5" ht="12.75">
      <c r="A9" s="166"/>
      <c r="B9" s="166" t="s">
        <v>26</v>
      </c>
      <c r="C9" s="459">
        <f>'Ripartizione per totale '!D11+'Ripartizione per totale '!D7+185000</f>
        <v>310602.4776</v>
      </c>
      <c r="E9" s="24"/>
    </row>
    <row r="10" spans="1:3" ht="12.75">
      <c r="A10" s="166"/>
      <c r="B10" s="166"/>
      <c r="C10" s="459"/>
    </row>
    <row r="11" spans="1:3" ht="12.75">
      <c r="A11" s="166"/>
      <c r="B11" s="166" t="s">
        <v>27</v>
      </c>
      <c r="C11" s="459"/>
    </row>
    <row r="12" spans="1:3" ht="12.75">
      <c r="A12" s="166"/>
      <c r="B12" s="166"/>
      <c r="C12" s="459"/>
    </row>
    <row r="13" spans="1:3" ht="12.75">
      <c r="A13" s="166"/>
      <c r="B13" s="166" t="s">
        <v>28</v>
      </c>
      <c r="C13" s="459">
        <f>'Ripartizione per totale '!D6</f>
        <v>35800</v>
      </c>
    </row>
    <row r="14" spans="1:3" ht="12.75">
      <c r="A14" s="166"/>
      <c r="B14" s="166"/>
      <c r="C14" s="459"/>
    </row>
    <row r="15" spans="1:3" s="1" customFormat="1" ht="12.75">
      <c r="A15" s="464" t="s">
        <v>2</v>
      </c>
      <c r="B15" s="464" t="s">
        <v>3</v>
      </c>
      <c r="C15" s="465"/>
    </row>
    <row r="16" spans="1:3" ht="12.75">
      <c r="A16" s="166"/>
      <c r="B16" s="166"/>
      <c r="C16" s="457"/>
    </row>
    <row r="17" spans="1:3" ht="12.75">
      <c r="A17" s="166"/>
      <c r="B17" s="227" t="s">
        <v>4</v>
      </c>
      <c r="C17" s="462">
        <f>SUM(C18:C20)</f>
        <v>0</v>
      </c>
    </row>
    <row r="18" spans="1:3" ht="12.75">
      <c r="A18" s="166"/>
      <c r="B18" s="166"/>
      <c r="C18" s="459"/>
    </row>
    <row r="19" spans="1:3" ht="12.75">
      <c r="A19" s="166"/>
      <c r="B19" s="166" t="s">
        <v>29</v>
      </c>
      <c r="C19" s="459"/>
    </row>
    <row r="20" spans="1:3" ht="12.75">
      <c r="A20" s="166"/>
      <c r="B20" s="166"/>
      <c r="C20" s="459"/>
    </row>
    <row r="21" spans="1:3" ht="12.75">
      <c r="A21" s="166"/>
      <c r="B21" s="165"/>
      <c r="C21" s="459"/>
    </row>
    <row r="22" spans="1:3" ht="12.75">
      <c r="A22" s="166"/>
      <c r="B22" s="228" t="s">
        <v>5</v>
      </c>
      <c r="C22" s="456">
        <f>SUM(C23:C25)</f>
        <v>5.319999999999999</v>
      </c>
    </row>
    <row r="23" spans="1:3" ht="12.75">
      <c r="A23" s="166"/>
      <c r="B23" s="166"/>
      <c r="C23" s="459"/>
    </row>
    <row r="24" spans="1:4" ht="12.75">
      <c r="A24" s="166"/>
      <c r="B24" s="166" t="s">
        <v>30</v>
      </c>
      <c r="C24" s="459">
        <f>'Ripartizione per totale '!D15</f>
        <v>5.319999999999999</v>
      </c>
      <c r="D24" s="155"/>
    </row>
    <row r="25" spans="1:3" ht="12.75">
      <c r="A25" s="166"/>
      <c r="B25" s="166"/>
      <c r="C25" s="459"/>
    </row>
    <row r="26" spans="1:3" ht="12.75">
      <c r="A26" s="166"/>
      <c r="B26" s="166"/>
      <c r="C26" s="459"/>
    </row>
    <row r="27" spans="1:3" ht="12.75">
      <c r="A27" s="166"/>
      <c r="B27" s="228" t="s">
        <v>7</v>
      </c>
      <c r="C27" s="456">
        <f>SUM(C28:C31)</f>
        <v>0</v>
      </c>
    </row>
    <row r="28" spans="1:3" ht="12.75">
      <c r="A28" s="166"/>
      <c r="B28" s="166"/>
      <c r="C28" s="459"/>
    </row>
    <row r="29" spans="1:3" ht="12.75">
      <c r="A29" s="166"/>
      <c r="B29" s="166" t="s">
        <v>31</v>
      </c>
      <c r="C29" s="459"/>
    </row>
    <row r="30" spans="1:3" ht="12.75">
      <c r="A30" s="166"/>
      <c r="B30" s="166"/>
      <c r="C30" s="459"/>
    </row>
    <row r="31" spans="1:3" ht="12.75">
      <c r="A31" s="166"/>
      <c r="B31" s="166" t="s">
        <v>32</v>
      </c>
      <c r="C31" s="459"/>
    </row>
    <row r="32" spans="1:3" ht="12.75">
      <c r="A32" s="166"/>
      <c r="B32" s="166"/>
      <c r="C32" s="459"/>
    </row>
    <row r="33" spans="1:3" ht="12.75">
      <c r="A33" s="166"/>
      <c r="B33" s="466" t="s">
        <v>175</v>
      </c>
      <c r="C33" s="456">
        <f>SUM(C34:C36)</f>
        <v>0</v>
      </c>
    </row>
    <row r="34" spans="1:3" ht="12.75">
      <c r="A34" s="166"/>
      <c r="B34" s="166"/>
      <c r="C34" s="459"/>
    </row>
    <row r="35" spans="1:3" ht="12.75">
      <c r="A35" s="166"/>
      <c r="B35" s="467" t="s">
        <v>173</v>
      </c>
      <c r="C35" s="459">
        <f>'Ripartizione per totale '!D22</f>
        <v>0</v>
      </c>
    </row>
    <row r="36" spans="1:3" ht="12.75">
      <c r="A36" s="166"/>
      <c r="B36" s="166"/>
      <c r="C36" s="459"/>
    </row>
    <row r="37" spans="1:3" ht="12.75">
      <c r="A37" s="166"/>
      <c r="B37" s="166"/>
      <c r="C37" s="463"/>
    </row>
    <row r="38" spans="1:3" s="1" customFormat="1" ht="12.75">
      <c r="A38" s="468" t="s">
        <v>33</v>
      </c>
      <c r="B38" s="468"/>
      <c r="C38" s="461">
        <f>C27+C22+C17+C7+C33</f>
        <v>346407.7976</v>
      </c>
    </row>
    <row r="39" spans="1:3" ht="12.75">
      <c r="A39" s="166"/>
      <c r="B39" s="166"/>
      <c r="C39" s="469"/>
    </row>
    <row r="40" spans="1:3" ht="12.75">
      <c r="A40" s="651" t="s">
        <v>9</v>
      </c>
      <c r="B40" s="651"/>
      <c r="C40" s="651"/>
    </row>
    <row r="41" spans="1:3" ht="12.75">
      <c r="A41" s="166"/>
      <c r="B41" s="166"/>
      <c r="C41" s="469"/>
    </row>
    <row r="42" spans="1:3" ht="12.75">
      <c r="A42" s="166"/>
      <c r="B42" s="166"/>
      <c r="C42" s="470" t="s">
        <v>38</v>
      </c>
    </row>
    <row r="43" spans="1:3" ht="12.75">
      <c r="A43" s="464" t="s">
        <v>2</v>
      </c>
      <c r="B43" s="464" t="s">
        <v>10</v>
      </c>
      <c r="C43" s="471" t="s">
        <v>6</v>
      </c>
    </row>
    <row r="44" spans="1:3" ht="12.75">
      <c r="A44" s="166"/>
      <c r="B44" s="166"/>
      <c r="C44" s="459"/>
    </row>
    <row r="45" spans="1:3" ht="12.75">
      <c r="A45" s="166"/>
      <c r="B45" s="228" t="s">
        <v>11</v>
      </c>
      <c r="C45" s="456">
        <f>SUM(C46:C50)</f>
        <v>42833.800184</v>
      </c>
    </row>
    <row r="46" spans="1:3" ht="12.75">
      <c r="A46" s="166"/>
      <c r="B46" s="166"/>
      <c r="C46" s="459"/>
    </row>
    <row r="47" spans="1:5" ht="12.75">
      <c r="A47" s="166"/>
      <c r="B47" s="166" t="s">
        <v>15</v>
      </c>
      <c r="C47" s="459">
        <f>('Ripartizione per totale '!E50+'Ripartizione per totale '!D28)*0.7</f>
        <v>29983.6601288</v>
      </c>
      <c r="E47" s="24"/>
    </row>
    <row r="48" spans="1:3" ht="12.75">
      <c r="A48" s="166"/>
      <c r="B48" s="166"/>
      <c r="C48" s="459"/>
    </row>
    <row r="49" spans="1:3" ht="12.75">
      <c r="A49" s="166"/>
      <c r="B49" s="166" t="s">
        <v>14</v>
      </c>
      <c r="C49" s="459">
        <f>('Ripartizione per totale '!D28+'Ripartizione per totale '!E50)*0.3</f>
        <v>12850.1400552</v>
      </c>
    </row>
    <row r="50" spans="1:3" ht="12.75">
      <c r="A50" s="166"/>
      <c r="B50" s="166"/>
      <c r="C50" s="459"/>
    </row>
    <row r="51" spans="1:3" ht="12.75">
      <c r="A51" s="166"/>
      <c r="B51" s="166"/>
      <c r="C51" s="459"/>
    </row>
    <row r="52" spans="1:3" ht="12.75">
      <c r="A52" s="166"/>
      <c r="B52" s="228" t="s">
        <v>12</v>
      </c>
      <c r="C52" s="456">
        <f>SUM(C53:C55)</f>
        <v>3724</v>
      </c>
    </row>
    <row r="53" spans="1:3" ht="12.75">
      <c r="A53" s="166"/>
      <c r="B53" s="166"/>
      <c r="C53" s="459"/>
    </row>
    <row r="54" spans="1:5" ht="12.75">
      <c r="A54" s="166"/>
      <c r="B54" s="166" t="s">
        <v>16</v>
      </c>
      <c r="C54" s="459">
        <f>'Ripartizione per totale '!D42</f>
        <v>3724</v>
      </c>
      <c r="E54" s="24"/>
    </row>
    <row r="55" spans="1:3" ht="12.75">
      <c r="A55" s="166"/>
      <c r="B55" s="166"/>
      <c r="C55" s="459"/>
    </row>
    <row r="56" spans="1:3" ht="12.75">
      <c r="A56" s="166"/>
      <c r="B56" s="166"/>
      <c r="C56" s="459"/>
    </row>
    <row r="57" spans="1:3" ht="12.75">
      <c r="A57" s="166"/>
      <c r="B57" s="228" t="s">
        <v>13</v>
      </c>
      <c r="C57" s="456">
        <f>SUM(C58:C61)</f>
        <v>200368.34412</v>
      </c>
    </row>
    <row r="58" spans="1:3" ht="12.75">
      <c r="A58" s="166"/>
      <c r="B58" s="166"/>
      <c r="C58" s="459"/>
    </row>
    <row r="59" spans="1:5" ht="12.75">
      <c r="A59" s="166"/>
      <c r="B59" s="166" t="s">
        <v>17</v>
      </c>
      <c r="C59" s="459">
        <f>'Ripartizione per totale '!D33+'Ripartizione per totale '!D34</f>
        <v>198586.17193296</v>
      </c>
      <c r="E59" s="24"/>
    </row>
    <row r="60" spans="1:3" ht="12.75">
      <c r="A60" s="166"/>
      <c r="B60" s="166"/>
      <c r="C60" s="459"/>
    </row>
    <row r="61" spans="1:3" ht="12.75">
      <c r="A61" s="166"/>
      <c r="B61" s="166" t="s">
        <v>49</v>
      </c>
      <c r="C61" s="459">
        <f>'Ripartizione per totale '!D35+'Ripartizione per totale '!D36</f>
        <v>1782.1721870399997</v>
      </c>
    </row>
    <row r="62" spans="1:5" ht="12.75">
      <c r="A62" s="166"/>
      <c r="B62" s="166"/>
      <c r="C62" s="459"/>
      <c r="E62" s="31"/>
    </row>
    <row r="63" spans="1:3" ht="12.75">
      <c r="A63" s="166"/>
      <c r="B63" s="228" t="s">
        <v>0</v>
      </c>
      <c r="C63" s="456">
        <f>SUM(C64:C72)</f>
        <v>223713.89</v>
      </c>
    </row>
    <row r="64" spans="1:3" ht="12.75">
      <c r="A64" s="166"/>
      <c r="B64" s="166"/>
      <c r="C64" s="459"/>
    </row>
    <row r="65" spans="1:3" ht="12.75">
      <c r="A65" s="166"/>
      <c r="B65" s="166" t="s">
        <v>18</v>
      </c>
      <c r="C65" s="459">
        <f>'ripartizione partners 2020'!B87</f>
        <v>38713.89</v>
      </c>
    </row>
    <row r="66" spans="1:3" ht="12.75">
      <c r="A66" s="166"/>
      <c r="B66" s="166"/>
      <c r="C66" s="459"/>
    </row>
    <row r="67" spans="1:3" ht="12.75">
      <c r="A67" s="166"/>
      <c r="B67" s="166" t="s">
        <v>19</v>
      </c>
      <c r="C67" s="459">
        <v>185000</v>
      </c>
    </row>
    <row r="68" spans="1:3" ht="12.75">
      <c r="A68" s="166"/>
      <c r="B68" s="166"/>
      <c r="C68" s="459"/>
    </row>
    <row r="69" spans="1:3" ht="12.75">
      <c r="A69" s="166"/>
      <c r="B69" s="166" t="s">
        <v>20</v>
      </c>
      <c r="C69" s="459">
        <f>'[2]TOTALI'!$E$30</f>
        <v>0</v>
      </c>
    </row>
    <row r="70" spans="1:3" ht="12.75">
      <c r="A70" s="166"/>
      <c r="B70" s="166"/>
      <c r="C70" s="459"/>
    </row>
    <row r="71" spans="1:3" ht="12.75">
      <c r="A71" s="166"/>
      <c r="B71" s="467" t="s">
        <v>291</v>
      </c>
      <c r="C71" s="459"/>
    </row>
    <row r="72" spans="1:3" ht="12.75">
      <c r="A72" s="166"/>
      <c r="B72" s="166"/>
      <c r="C72" s="459"/>
    </row>
    <row r="73" spans="1:4" ht="12.75">
      <c r="A73" s="166"/>
      <c r="B73" s="472" t="s">
        <v>347</v>
      </c>
      <c r="C73" s="456">
        <f>SUM(C74:C76)</f>
        <v>5.319999999999999</v>
      </c>
      <c r="D73" s="154"/>
    </row>
    <row r="74" spans="1:4" ht="12.75">
      <c r="A74" s="166"/>
      <c r="B74" s="166"/>
      <c r="C74" s="26"/>
      <c r="D74" s="42"/>
    </row>
    <row r="75" spans="1:4" ht="12.75">
      <c r="A75" s="166"/>
      <c r="B75" s="166" t="s">
        <v>348</v>
      </c>
      <c r="C75" s="26">
        <f>'Ripartizione per totale '!D27</f>
        <v>5.319999999999999</v>
      </c>
      <c r="D75" s="42"/>
    </row>
    <row r="76" spans="1:4" ht="12.75">
      <c r="A76" s="166"/>
      <c r="B76" s="166"/>
      <c r="C76" s="164"/>
      <c r="D76" s="42"/>
    </row>
    <row r="77" spans="1:3" ht="12.75">
      <c r="A77" s="166"/>
      <c r="B77" s="228" t="s">
        <v>21</v>
      </c>
      <c r="C77" s="456">
        <f>SUM(C78:C83)</f>
        <v>0</v>
      </c>
    </row>
    <row r="78" spans="1:3" ht="12.75">
      <c r="A78" s="166"/>
      <c r="B78" s="166"/>
      <c r="C78" s="459"/>
    </row>
    <row r="79" spans="1:3" ht="12.75">
      <c r="A79" s="166"/>
      <c r="B79" s="467" t="s">
        <v>42</v>
      </c>
      <c r="C79" s="459"/>
    </row>
    <row r="80" spans="1:3" ht="12.75">
      <c r="A80" s="166"/>
      <c r="B80" s="166"/>
      <c r="C80" s="459"/>
    </row>
    <row r="81" spans="1:3" ht="12.75">
      <c r="A81" s="166"/>
      <c r="B81" s="166"/>
      <c r="C81" s="459"/>
    </row>
    <row r="82" spans="1:3" ht="12.75">
      <c r="A82" s="464" t="s">
        <v>2</v>
      </c>
      <c r="B82" s="464" t="s">
        <v>23</v>
      </c>
      <c r="C82" s="465"/>
    </row>
    <row r="83" spans="1:3" ht="12.75">
      <c r="A83" s="166"/>
      <c r="B83" s="166"/>
      <c r="C83" s="459"/>
    </row>
    <row r="84" spans="1:3" ht="12.75">
      <c r="A84" s="166"/>
      <c r="B84" s="228" t="s">
        <v>24</v>
      </c>
      <c r="C84" s="456">
        <f>SUM(C85:C90)</f>
        <v>0</v>
      </c>
    </row>
    <row r="85" spans="1:3" ht="12.75">
      <c r="A85" s="166"/>
      <c r="B85" s="166"/>
      <c r="C85" s="459"/>
    </row>
    <row r="86" spans="1:3" ht="12.75">
      <c r="A86" s="166"/>
      <c r="B86" s="166" t="s">
        <v>25</v>
      </c>
      <c r="C86" s="459"/>
    </row>
    <row r="87" spans="1:3" ht="12.75">
      <c r="A87" s="166"/>
      <c r="B87" s="166"/>
      <c r="C87" s="459"/>
    </row>
    <row r="88" spans="1:3" ht="12.75">
      <c r="A88" s="166"/>
      <c r="B88" s="166" t="s">
        <v>34</v>
      </c>
      <c r="C88" s="459">
        <f>'Ripartizione per totale '!D38</f>
        <v>0</v>
      </c>
    </row>
    <row r="89" spans="1:3" ht="12.75">
      <c r="A89" s="166"/>
      <c r="B89" s="166"/>
      <c r="C89" s="459"/>
    </row>
    <row r="90" spans="1:3" ht="12.75">
      <c r="A90" s="166"/>
      <c r="B90" s="166"/>
      <c r="C90" s="463"/>
    </row>
    <row r="91" spans="1:3" ht="12.75">
      <c r="A91" s="468" t="s">
        <v>35</v>
      </c>
      <c r="B91" s="468"/>
      <c r="C91" s="461">
        <f>C84+C77+C63+C57+C52+C45+C73</f>
        <v>470645.35430400004</v>
      </c>
    </row>
  </sheetData>
  <sheetProtection/>
  <mergeCells count="2">
    <mergeCell ref="B1:C1"/>
    <mergeCell ref="A40:C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pane ySplit="2" topLeftCell="A55" activePane="bottomLeft" state="frozen"/>
      <selection pane="topLeft" activeCell="D64" sqref="D64"/>
      <selection pane="bottomLeft" activeCell="C78" sqref="C78"/>
    </sheetView>
  </sheetViews>
  <sheetFormatPr defaultColWidth="9.140625" defaultRowHeight="12.75"/>
  <cols>
    <col min="1" max="1" width="12.421875" style="0" customWidth="1"/>
    <col min="2" max="2" width="75.57421875" style="0" bestFit="1" customWidth="1"/>
    <col min="3" max="3" width="27.7109375" style="27" customWidth="1"/>
    <col min="5" max="5" width="12.8515625" style="0" bestFit="1" customWidth="1"/>
    <col min="7" max="7" width="10.140625" style="0" bestFit="1" customWidth="1"/>
  </cols>
  <sheetData>
    <row r="1" spans="1:3" ht="12.75">
      <c r="A1" s="473"/>
      <c r="B1" s="652" t="s">
        <v>8</v>
      </c>
      <c r="C1" s="653"/>
    </row>
    <row r="2" spans="1:3" ht="51">
      <c r="A2" s="166"/>
      <c r="B2" s="166"/>
      <c r="C2" s="474" t="s">
        <v>116</v>
      </c>
    </row>
    <row r="3" spans="1:3" ht="51">
      <c r="A3" s="166"/>
      <c r="B3" s="166"/>
      <c r="C3" s="475" t="s">
        <v>115</v>
      </c>
    </row>
    <row r="4" spans="1:3" ht="12.75">
      <c r="A4" s="166"/>
      <c r="B4" s="166"/>
      <c r="C4" s="476" t="s">
        <v>110</v>
      </c>
    </row>
    <row r="5" spans="1:3" s="1" customFormat="1" ht="12.75">
      <c r="A5" s="226" t="s">
        <v>1</v>
      </c>
      <c r="B5" s="226" t="s">
        <v>0</v>
      </c>
      <c r="C5" s="471" t="s">
        <v>6</v>
      </c>
    </row>
    <row r="6" spans="1:3" s="1" customFormat="1" ht="12.75">
      <c r="A6" s="464"/>
      <c r="B6" s="464"/>
      <c r="C6" s="465"/>
    </row>
    <row r="7" spans="1:3" s="1" customFormat="1" ht="12.75">
      <c r="A7" s="464"/>
      <c r="B7" s="227" t="s">
        <v>0</v>
      </c>
      <c r="C7" s="477">
        <f>SUM(C8:C18)</f>
        <v>759726.7547062167</v>
      </c>
    </row>
    <row r="8" spans="1:3" ht="12.75">
      <c r="A8" s="166"/>
      <c r="B8" s="166"/>
      <c r="C8" s="459"/>
    </row>
    <row r="9" spans="1:5" ht="12.75">
      <c r="A9" s="166"/>
      <c r="B9" s="166" t="s">
        <v>26</v>
      </c>
      <c r="C9" s="459">
        <f>'Ripartizione per totale '!E9+'Ripartizione per totale '!E11+'Ripartizione per totale '!E7</f>
        <v>700477.277278854</v>
      </c>
      <c r="E9" s="24"/>
    </row>
    <row r="10" spans="1:3" ht="12.75">
      <c r="A10" s="166"/>
      <c r="B10" s="166"/>
      <c r="C10" s="459"/>
    </row>
    <row r="11" spans="1:3" ht="12.75">
      <c r="A11" s="166"/>
      <c r="B11" s="166" t="s">
        <v>27</v>
      </c>
      <c r="C11" s="459"/>
    </row>
    <row r="12" spans="1:3" ht="12.75">
      <c r="A12" s="166"/>
      <c r="B12" s="166"/>
      <c r="C12" s="459"/>
    </row>
    <row r="13" spans="1:3" ht="12.75">
      <c r="A13" s="166"/>
      <c r="B13" s="166" t="s">
        <v>28</v>
      </c>
      <c r="C13" s="459">
        <f>'Ripartizione per totale '!E6</f>
        <v>59249.47742736264</v>
      </c>
    </row>
    <row r="14" spans="1:3" ht="12.75">
      <c r="A14" s="166"/>
      <c r="B14" s="166"/>
      <c r="C14" s="459"/>
    </row>
    <row r="15" spans="1:3" ht="12.75">
      <c r="A15" s="166"/>
      <c r="B15" s="166"/>
      <c r="C15" s="459"/>
    </row>
    <row r="16" spans="1:3" ht="12.75">
      <c r="A16" s="166"/>
      <c r="B16" s="166"/>
      <c r="C16" s="459"/>
    </row>
    <row r="17" spans="1:3" s="1" customFormat="1" ht="12.75">
      <c r="A17" s="464" t="s">
        <v>2</v>
      </c>
      <c r="B17" s="464" t="s">
        <v>3</v>
      </c>
      <c r="C17" s="465"/>
    </row>
    <row r="18" spans="1:3" ht="12.75">
      <c r="A18" s="166"/>
      <c r="B18" s="166"/>
      <c r="C18" s="459"/>
    </row>
    <row r="19" spans="1:3" ht="12.75">
      <c r="A19" s="166"/>
      <c r="B19" s="227" t="s">
        <v>4</v>
      </c>
      <c r="C19" s="477">
        <f>SUM(C20:C23)</f>
        <v>8000</v>
      </c>
    </row>
    <row r="20" spans="1:3" ht="12.75">
      <c r="A20" s="166"/>
      <c r="B20" s="166"/>
      <c r="C20" s="459"/>
    </row>
    <row r="21" spans="1:3" ht="12.75">
      <c r="A21" s="166"/>
      <c r="B21" s="166" t="s">
        <v>29</v>
      </c>
      <c r="C21" s="478">
        <f>'Ripartizione per totale '!E17</f>
        <v>8000</v>
      </c>
    </row>
    <row r="22" spans="1:3" ht="12.75">
      <c r="A22" s="166"/>
      <c r="B22" s="166"/>
      <c r="C22" s="459"/>
    </row>
    <row r="23" spans="1:3" ht="12.75">
      <c r="A23" s="166"/>
      <c r="B23" s="165"/>
      <c r="C23" s="459"/>
    </row>
    <row r="24" spans="1:3" ht="12.75">
      <c r="A24" s="166"/>
      <c r="B24" s="228" t="s">
        <v>5</v>
      </c>
      <c r="C24" s="479">
        <f>SUM(C25:C28)</f>
        <v>14.699790970945056</v>
      </c>
    </row>
    <row r="25" spans="1:3" ht="12.75">
      <c r="A25" s="166"/>
      <c r="B25" s="166"/>
      <c r="C25" s="459"/>
    </row>
    <row r="26" spans="1:4" ht="12.75">
      <c r="A26" s="166"/>
      <c r="B26" s="166" t="s">
        <v>30</v>
      </c>
      <c r="C26" s="459">
        <f>'Ripartizione per totale '!E15</f>
        <v>14.699790970945056</v>
      </c>
      <c r="D26" s="159"/>
    </row>
    <row r="27" spans="1:3" ht="12.75">
      <c r="A27" s="166"/>
      <c r="B27" s="166"/>
      <c r="C27" s="459"/>
    </row>
    <row r="28" spans="1:3" ht="12.75">
      <c r="A28" s="166"/>
      <c r="B28" s="166"/>
      <c r="C28" s="459"/>
    </row>
    <row r="29" spans="1:3" ht="12.75">
      <c r="A29" s="166"/>
      <c r="B29" s="228" t="s">
        <v>7</v>
      </c>
      <c r="C29" s="479">
        <f>SUM(C30:C34)</f>
        <v>0</v>
      </c>
    </row>
    <row r="30" spans="1:3" ht="12.75">
      <c r="A30" s="166"/>
      <c r="B30" s="166"/>
      <c r="C30" s="459"/>
    </row>
    <row r="31" spans="1:3" ht="12.75">
      <c r="A31" s="166"/>
      <c r="B31" s="166" t="s">
        <v>31</v>
      </c>
      <c r="C31" s="459"/>
    </row>
    <row r="32" spans="1:3" ht="12.75">
      <c r="A32" s="166"/>
      <c r="B32" s="166"/>
      <c r="C32" s="459"/>
    </row>
    <row r="33" spans="1:3" ht="12.75">
      <c r="A33" s="166"/>
      <c r="B33" s="166" t="s">
        <v>32</v>
      </c>
      <c r="C33" s="459"/>
    </row>
    <row r="34" spans="1:3" ht="12.75">
      <c r="A34" s="166"/>
      <c r="B34" s="166"/>
      <c r="C34" s="459"/>
    </row>
    <row r="35" spans="1:3" ht="12.75">
      <c r="A35" s="166"/>
      <c r="B35" s="466" t="s">
        <v>175</v>
      </c>
      <c r="C35" s="480">
        <f>SUM(C36:C38)</f>
        <v>0</v>
      </c>
    </row>
    <row r="36" spans="1:3" ht="12.75">
      <c r="A36" s="166"/>
      <c r="B36" s="166"/>
      <c r="C36" s="459"/>
    </row>
    <row r="37" spans="1:3" ht="12.75">
      <c r="A37" s="166"/>
      <c r="B37" s="467" t="s">
        <v>173</v>
      </c>
      <c r="C37" s="459">
        <f>'Ripartizione per totale '!E22</f>
        <v>0</v>
      </c>
    </row>
    <row r="38" spans="1:3" ht="12.75">
      <c r="A38" s="166"/>
      <c r="B38" s="166"/>
      <c r="C38" s="459"/>
    </row>
    <row r="39" spans="1:3" ht="12.75">
      <c r="A39" s="166"/>
      <c r="B39" s="166"/>
      <c r="C39" s="459"/>
    </row>
    <row r="40" spans="1:3" s="1" customFormat="1" ht="12.75">
      <c r="A40" s="468" t="s">
        <v>33</v>
      </c>
      <c r="B40" s="481"/>
      <c r="C40" s="461">
        <f>C29+C24+C19+C7+C35</f>
        <v>767741.4544971876</v>
      </c>
    </row>
    <row r="41" spans="1:5" ht="12.75">
      <c r="A41" s="166"/>
      <c r="B41" s="166"/>
      <c r="C41" s="469"/>
      <c r="E41" s="166"/>
    </row>
    <row r="42" spans="1:3" ht="12.75">
      <c r="A42" s="652" t="s">
        <v>9</v>
      </c>
      <c r="B42" s="653"/>
      <c r="C42" s="653"/>
    </row>
    <row r="43" spans="1:3" ht="12.75">
      <c r="A43" s="166"/>
      <c r="B43" s="166"/>
      <c r="C43" s="469"/>
    </row>
    <row r="44" spans="1:3" ht="38.25">
      <c r="A44" s="166"/>
      <c r="B44" s="166"/>
      <c r="C44" s="470" t="s">
        <v>39</v>
      </c>
    </row>
    <row r="45" spans="1:3" ht="12.75">
      <c r="A45" s="464" t="s">
        <v>2</v>
      </c>
      <c r="B45" s="464" t="s">
        <v>10</v>
      </c>
      <c r="C45" s="471" t="s">
        <v>6</v>
      </c>
    </row>
    <row r="46" spans="1:3" ht="12.75">
      <c r="A46" s="166"/>
      <c r="B46" s="166"/>
      <c r="C46" s="459"/>
    </row>
    <row r="47" spans="1:3" ht="12.75">
      <c r="A47" s="166"/>
      <c r="B47" s="228" t="s">
        <v>11</v>
      </c>
      <c r="C47" s="479">
        <f>SUM(C48:C52)</f>
        <v>225891.45514962933</v>
      </c>
    </row>
    <row r="48" spans="1:3" ht="12.75">
      <c r="A48" s="166"/>
      <c r="B48" s="166"/>
      <c r="C48" s="459"/>
    </row>
    <row r="49" spans="1:5" ht="12.75">
      <c r="A49" s="166"/>
      <c r="B49" s="166" t="s">
        <v>15</v>
      </c>
      <c r="C49" s="459">
        <f>('Ripartizione per totale '!E49+'Ripartizione per totale '!E28)*0.7</f>
        <v>158124.01860474053</v>
      </c>
      <c r="E49" s="24"/>
    </row>
    <row r="50" spans="1:3" ht="12.75">
      <c r="A50" s="166"/>
      <c r="B50" s="166"/>
      <c r="C50" s="459"/>
    </row>
    <row r="51" spans="1:3" ht="12.75">
      <c r="A51" s="166"/>
      <c r="B51" s="166" t="s">
        <v>14</v>
      </c>
      <c r="C51" s="459">
        <f>('Ripartizione per totale '!E28+'Ripartizione per totale '!E49)*0.3</f>
        <v>67767.4365448888</v>
      </c>
    </row>
    <row r="52" spans="1:3" ht="12.75">
      <c r="A52" s="166"/>
      <c r="B52" s="166"/>
      <c r="C52" s="459"/>
    </row>
    <row r="53" spans="1:3" ht="12.75">
      <c r="A53" s="166"/>
      <c r="B53" s="166"/>
      <c r="C53" s="459"/>
    </row>
    <row r="54" spans="1:3" ht="12.75">
      <c r="A54" s="166"/>
      <c r="B54" s="228" t="s">
        <v>12</v>
      </c>
      <c r="C54" s="479">
        <f>SUM(C55:C58)</f>
        <v>10289.853679661539</v>
      </c>
    </row>
    <row r="55" spans="1:3" ht="12.75">
      <c r="A55" s="166"/>
      <c r="B55" s="166"/>
      <c r="C55" s="459"/>
    </row>
    <row r="56" spans="1:5" ht="12.75">
      <c r="A56" s="166"/>
      <c r="B56" s="166" t="s">
        <v>16</v>
      </c>
      <c r="C56" s="459">
        <f>'Ripartizione per totale '!E42</f>
        <v>10289.853679661539</v>
      </c>
      <c r="E56" s="24"/>
    </row>
    <row r="57" spans="1:3" ht="12.75">
      <c r="A57" s="166"/>
      <c r="B57" s="166"/>
      <c r="C57" s="459"/>
    </row>
    <row r="58" spans="1:3" ht="12.75">
      <c r="A58" s="166"/>
      <c r="B58" s="166"/>
      <c r="C58" s="459"/>
    </row>
    <row r="59" spans="1:3" ht="12.75">
      <c r="A59" s="166"/>
      <c r="B59" s="228" t="s">
        <v>13</v>
      </c>
      <c r="C59" s="479">
        <f>SUM(C60:C64)</f>
        <v>167152.243467048</v>
      </c>
    </row>
    <row r="60" spans="1:3" ht="12.75">
      <c r="A60" s="166"/>
      <c r="B60" s="166"/>
      <c r="C60" s="459"/>
    </row>
    <row r="61" spans="1:3" ht="12.75">
      <c r="A61" s="166"/>
      <c r="B61" s="166" t="s">
        <v>17</v>
      </c>
      <c r="C61" s="26">
        <f>'Ripartizione per totale '!E33+'Ripartizione per totale '!E34+'Ripartizione per totale '!E43+'Ripartizione per totale '!E40</f>
        <v>162227.89034228862</v>
      </c>
    </row>
    <row r="62" spans="1:3" ht="12.75">
      <c r="A62" s="166"/>
      <c r="B62" s="166"/>
      <c r="C62" s="459"/>
    </row>
    <row r="63" spans="1:3" ht="12.75">
      <c r="A63" s="166"/>
      <c r="B63" s="166" t="s">
        <v>49</v>
      </c>
      <c r="C63" s="459">
        <f>'Ripartizione per totale '!E35+'Ripartizione per totale '!E36</f>
        <v>4924.353124759397</v>
      </c>
    </row>
    <row r="64" spans="1:3" ht="12.75">
      <c r="A64" s="166"/>
      <c r="B64" s="166"/>
      <c r="C64" s="459"/>
    </row>
    <row r="65" spans="1:3" ht="12.75">
      <c r="A65" s="166"/>
      <c r="B65" s="228" t="s">
        <v>0</v>
      </c>
      <c r="C65" s="479">
        <f>SUM(C67:C74)</f>
        <v>339086.25</v>
      </c>
    </row>
    <row r="66" spans="1:3" ht="12.75">
      <c r="A66" s="166"/>
      <c r="B66" s="166"/>
      <c r="C66" s="459"/>
    </row>
    <row r="67" spans="1:7" ht="12.75">
      <c r="A67" s="166"/>
      <c r="B67" s="166" t="s">
        <v>18</v>
      </c>
      <c r="C67" s="482">
        <f>'ripartizione partners 2020'!C80</f>
        <v>99408.87</v>
      </c>
      <c r="D67" s="20" t="s">
        <v>425</v>
      </c>
      <c r="G67" s="438">
        <v>43403</v>
      </c>
    </row>
    <row r="68" spans="1:3" ht="12.75">
      <c r="A68" s="166"/>
      <c r="B68" s="166"/>
      <c r="C68" s="459"/>
    </row>
    <row r="69" spans="1:3" ht="12.75">
      <c r="A69" s="166"/>
      <c r="B69" s="166" t="s">
        <v>19</v>
      </c>
      <c r="C69" s="459">
        <f>'ripartizione partners 2020'!C81</f>
        <v>233017.62</v>
      </c>
    </row>
    <row r="70" spans="1:3" ht="12.75">
      <c r="A70" s="166"/>
      <c r="B70" s="166"/>
      <c r="C70" s="459"/>
    </row>
    <row r="71" spans="1:3" ht="12.75">
      <c r="A71" s="166"/>
      <c r="B71" s="166" t="s">
        <v>20</v>
      </c>
      <c r="C71" s="459"/>
    </row>
    <row r="72" spans="1:3" ht="12.75">
      <c r="A72" s="166"/>
      <c r="B72" s="166"/>
      <c r="C72" s="459"/>
    </row>
    <row r="73" spans="1:3" ht="12.75">
      <c r="A73" s="166"/>
      <c r="B73" s="467" t="s">
        <v>291</v>
      </c>
      <c r="C73" s="459">
        <f>'ripartizione partners 2020'!C82</f>
        <v>6659.760000000002</v>
      </c>
    </row>
    <row r="74" spans="1:3" ht="12.75">
      <c r="A74" s="166"/>
      <c r="B74" s="166"/>
      <c r="C74" s="459"/>
    </row>
    <row r="75" spans="1:4" ht="12.75">
      <c r="A75" s="166"/>
      <c r="B75" s="472" t="s">
        <v>347</v>
      </c>
      <c r="C75" s="479">
        <f>SUM(C76:C78)</f>
        <v>14.699790970945056</v>
      </c>
      <c r="D75" s="154"/>
    </row>
    <row r="76" spans="1:4" ht="12.75">
      <c r="A76" s="166"/>
      <c r="B76" s="166"/>
      <c r="C76" s="483"/>
      <c r="D76" s="42"/>
    </row>
    <row r="77" spans="1:4" ht="12.75">
      <c r="A77" s="166"/>
      <c r="B77" s="166" t="s">
        <v>348</v>
      </c>
      <c r="C77" s="26">
        <f>'Ripartizione per totale '!E27</f>
        <v>14.699790970945056</v>
      </c>
      <c r="D77" s="42"/>
    </row>
    <row r="78" spans="1:4" ht="12.75">
      <c r="A78" s="166"/>
      <c r="B78" s="166"/>
      <c r="C78" s="164"/>
      <c r="D78" s="42"/>
    </row>
    <row r="79" spans="1:3" ht="12.75">
      <c r="A79" s="166"/>
      <c r="B79" s="228" t="s">
        <v>21</v>
      </c>
      <c r="C79" s="479">
        <f>SUM(C80:C85)</f>
        <v>0</v>
      </c>
    </row>
    <row r="80" spans="1:3" ht="12.75">
      <c r="A80" s="166"/>
      <c r="B80" s="166"/>
      <c r="C80" s="459"/>
    </row>
    <row r="81" spans="1:3" ht="12.75">
      <c r="A81" s="166"/>
      <c r="B81" s="166" t="s">
        <v>22</v>
      </c>
      <c r="C81" s="459"/>
    </row>
    <row r="82" spans="1:3" ht="12.75">
      <c r="A82" s="166"/>
      <c r="B82" s="166"/>
      <c r="C82" s="459"/>
    </row>
    <row r="83" spans="1:3" ht="12.75">
      <c r="A83" s="166"/>
      <c r="B83" s="166"/>
      <c r="C83" s="459"/>
    </row>
    <row r="84" spans="1:3" ht="12.75">
      <c r="A84" s="464" t="s">
        <v>2</v>
      </c>
      <c r="B84" s="464" t="s">
        <v>23</v>
      </c>
      <c r="C84" s="465"/>
    </row>
    <row r="85" spans="1:3" ht="12.75">
      <c r="A85" s="166"/>
      <c r="B85" s="166"/>
      <c r="C85" s="459"/>
    </row>
    <row r="86" spans="1:3" ht="12.75">
      <c r="A86" s="166"/>
      <c r="B86" s="228" t="s">
        <v>24</v>
      </c>
      <c r="C86" s="479">
        <f>SUM(C87:C92)</f>
        <v>0</v>
      </c>
    </row>
    <row r="87" spans="1:3" ht="12.75">
      <c r="A87" s="166"/>
      <c r="B87" s="166"/>
      <c r="C87" s="459"/>
    </row>
    <row r="88" spans="1:3" ht="12.75">
      <c r="A88" s="166"/>
      <c r="B88" s="166" t="s">
        <v>25</v>
      </c>
      <c r="C88" s="459"/>
    </row>
    <row r="89" spans="1:3" ht="12.75">
      <c r="A89" s="166"/>
      <c r="B89" s="166"/>
      <c r="C89" s="459"/>
    </row>
    <row r="90" spans="1:3" ht="12.75">
      <c r="A90" s="166"/>
      <c r="B90" s="166" t="s">
        <v>34</v>
      </c>
      <c r="C90" s="459">
        <f>'Ripartizione per totale '!E38</f>
        <v>0</v>
      </c>
    </row>
    <row r="91" spans="1:3" ht="12.75">
      <c r="A91" s="166"/>
      <c r="B91" s="166"/>
      <c r="C91" s="459"/>
    </row>
    <row r="92" spans="1:3" ht="12.75">
      <c r="A92" s="166"/>
      <c r="B92" s="166"/>
      <c r="C92" s="459"/>
    </row>
    <row r="93" spans="1:3" ht="12.75">
      <c r="A93" s="468" t="s">
        <v>35</v>
      </c>
      <c r="B93" s="481"/>
      <c r="C93" s="461">
        <f>C86+C79+C65+C59+C54+C47+C75</f>
        <v>742434.5020873097</v>
      </c>
    </row>
  </sheetData>
  <sheetProtection/>
  <mergeCells count="2">
    <mergeCell ref="B1:C1"/>
    <mergeCell ref="A42:C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 del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Borghetto</dc:creator>
  <cp:keywords/>
  <dc:description/>
  <cp:lastModifiedBy>CUV025</cp:lastModifiedBy>
  <cp:lastPrinted>2020-06-22T11:55:25Z</cp:lastPrinted>
  <dcterms:created xsi:type="dcterms:W3CDTF">2013-09-09T09:31:38Z</dcterms:created>
  <dcterms:modified xsi:type="dcterms:W3CDTF">2021-03-23T13:22:21Z</dcterms:modified>
  <cp:category/>
  <cp:version/>
  <cp:contentType/>
  <cp:contentStatus/>
</cp:coreProperties>
</file>